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Dark-Fired Tobacco" sheetId="1" r:id="rId1"/>
  </sheets>
  <definedNames>
    <definedName name="_xlnm.Print_Area" localSheetId="0">'Dark-Fired Tobacco'!$A$1:$H$135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F10" authorId="0">
      <text>
        <r>
          <rPr>
            <sz val="8"/>
            <rFont val="Tahoma"/>
            <family val="0"/>
          </rPr>
          <t>Enter your expected contract price.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83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13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7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4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E32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55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94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D3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91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E17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</commentList>
</comments>
</file>

<file path=xl/sharedStrings.xml><?xml version="1.0" encoding="utf-8"?>
<sst xmlns="http://schemas.openxmlformats.org/spreadsheetml/2006/main" count="370" uniqueCount="185">
  <si>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</si>
  <si>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</si>
  <si>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</si>
  <si>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</si>
  <si>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</si>
  <si>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</si>
  <si>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</si>
  <si>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</si>
  <si>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</si>
  <si>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</si>
  <si>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TOTAL RECEIPTS:</t>
  </si>
  <si>
    <t>ACRE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</si>
  <si>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</si>
  <si>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</si>
  <si>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</si>
  <si>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</si>
  <si>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</si>
  <si>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</si>
  <si>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</si>
  <si>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</si>
  <si>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</si>
  <si>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</si>
  <si>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</si>
  <si>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TON</t>
  </si>
  <si>
    <t xml:space="preserve">   OPERATION </t>
  </si>
  <si>
    <t>ESTIMATED COSTS AND RETURNS PER ACRE</t>
  </si>
  <si>
    <t>HARVEST</t>
  </si>
  <si>
    <t>2. PRE-HARVEST VARIABLE COSTS</t>
  </si>
  <si>
    <t xml:space="preserve">  PRODUCTION INTEREST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</si>
  <si>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</si>
  <si>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</si>
  <si>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</si>
  <si>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</si>
  <si>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</si>
  <si>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</si>
  <si>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</si>
  <si>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</si>
  <si>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</si>
  <si>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</si>
  <si>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</si>
  <si>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</si>
  <si>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</si>
  <si>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</si>
  <si>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</si>
  <si>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</si>
  <si>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</si>
  <si>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</si>
  <si>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</si>
  <si>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</si>
  <si>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</si>
  <si>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Table Sensitivity</t>
  </si>
  <si>
    <t xml:space="preserve"> </t>
  </si>
  <si>
    <t>H</t>
  </si>
  <si>
    <t>Notes</t>
  </si>
  <si>
    <t>I</t>
  </si>
  <si>
    <t>F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</si>
  <si>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</si>
  <si>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</si>
  <si>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</si>
  <si>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</si>
  <si>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</si>
  <si>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</si>
  <si>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</si>
  <si>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</si>
  <si>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</si>
  <si>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</si>
  <si>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</si>
  <si>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</si>
  <si>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</si>
  <si>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</si>
  <si>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</si>
  <si>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</si>
  <si>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</si>
  <si>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</si>
  <si>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</si>
  <si>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</si>
  <si>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</si>
  <si>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</si>
  <si>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</si>
  <si>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</si>
  <si>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</si>
  <si>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</si>
  <si>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</si>
  <si>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</si>
  <si>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</si>
  <si>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</si>
  <si>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</si>
  <si>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</si>
  <si>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</si>
  <si>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</si>
  <si>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</si>
  <si>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</si>
  <si>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</si>
  <si>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</si>
  <si>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</si>
  <si>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</si>
  <si>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</si>
  <si>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</si>
  <si>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</si>
  <si>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</si>
  <si>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</si>
  <si>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</si>
  <si>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</si>
  <si>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</si>
  <si>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</si>
  <si>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</si>
  <si>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</si>
  <si>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</si>
  <si>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</si>
  <si>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</si>
  <si>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</si>
  <si>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</si>
  <si>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</si>
  <si>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</si>
  <si>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</si>
  <si>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</si>
  <si>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</si>
  <si>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</si>
  <si>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</si>
  <si>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9. TOTAL VARIABLE &amp; FIXED COSTS</t>
  </si>
  <si>
    <t>POUND YIELD</t>
  </si>
  <si>
    <t>POUNDS</t>
  </si>
  <si>
    <t>1M</t>
  </si>
  <si>
    <t>FARM PRICE ($/pound)</t>
  </si>
  <si>
    <t>Pounds</t>
  </si>
  <si>
    <t xml:space="preserve">  Cover Crop: Rye</t>
  </si>
  <si>
    <t>BU.</t>
  </si>
  <si>
    <t>CWT</t>
  </si>
  <si>
    <t xml:space="preserve">  Frow: Fertilizer (6-12-18)</t>
  </si>
  <si>
    <t>PER Pound</t>
  </si>
  <si>
    <t xml:space="preserve">* This BUDGET is for PLANNING PURPOSES ONLY. </t>
  </si>
  <si>
    <t xml:space="preserve">  LIME (Pro-Rated)</t>
  </si>
  <si>
    <t>Pickup Truck (3 gph)</t>
  </si>
  <si>
    <t>75HP + Grain Drill w/Fertilizer 13 FT</t>
  </si>
  <si>
    <t>6 &amp; 7</t>
  </si>
  <si>
    <t>5, 6, &amp; 7</t>
  </si>
  <si>
    <t>55HP + Sidedress Attachment 2R</t>
  </si>
  <si>
    <t>IRRIGATION (Sprinkler Gun)</t>
  </si>
  <si>
    <t>Full-size Diesel Truck</t>
  </si>
  <si>
    <t xml:space="preserve">  Supplies</t>
  </si>
  <si>
    <t xml:space="preserve">  Tractor Equipment: Fuel &amp; Oil</t>
  </si>
  <si>
    <t xml:space="preserve">  Tractor Equipment: Repairs</t>
  </si>
  <si>
    <t xml:space="preserve">  Tractor Equipment: Labor</t>
  </si>
  <si>
    <t xml:space="preserve">  Hand Harvest Labor</t>
  </si>
  <si>
    <t xml:space="preserve">  Building Ins. &amp; Electricity</t>
  </si>
  <si>
    <t xml:space="preserve">  Cash Rent or Land Charge</t>
  </si>
  <si>
    <t xml:space="preserve">  Nematicides / Fumigants</t>
  </si>
  <si>
    <t xml:space="preserve">  Herbicides</t>
  </si>
  <si>
    <t xml:space="preserve">  Insecticides</t>
  </si>
  <si>
    <t xml:space="preserve">  Fungicides</t>
  </si>
  <si>
    <t xml:space="preserve">  Sucker Control</t>
  </si>
  <si>
    <t xml:space="preserve">  Crop &amp; Hail Insurance</t>
  </si>
  <si>
    <r>
      <t>Prowl H</t>
    </r>
    <r>
      <rPr>
        <vertAlign val="subscript"/>
        <sz val="12"/>
        <color indexed="12"/>
        <rFont val="Arial"/>
        <family val="2"/>
      </rPr>
      <t>2</t>
    </r>
    <r>
      <rPr>
        <sz val="12"/>
        <color indexed="12"/>
        <rFont val="Arial"/>
        <family val="0"/>
      </rPr>
      <t>O</t>
    </r>
  </si>
  <si>
    <t>PT</t>
  </si>
  <si>
    <t xml:space="preserve">PPI  </t>
  </si>
  <si>
    <t xml:space="preserve">MONTH </t>
  </si>
  <si>
    <t xml:space="preserve">PERIOD </t>
  </si>
  <si>
    <t>Ridomil Gold 4EC</t>
  </si>
  <si>
    <t>Lorsban 4E</t>
  </si>
  <si>
    <t>Admire Pro 4.6 SC</t>
  </si>
  <si>
    <t>OZ</t>
  </si>
  <si>
    <t xml:space="preserve">TPW </t>
  </si>
  <si>
    <t>Dipel DF</t>
  </si>
  <si>
    <t>LB</t>
  </si>
  <si>
    <t>Orthene 97</t>
  </si>
  <si>
    <t xml:space="preserve">2X </t>
  </si>
  <si>
    <t>Chemical Type: H = Herbicide; I = Insecticide; F = Fungicide; G = Growth Regulator; X=Nemacides/Fumigants;</t>
  </si>
  <si>
    <t>Prime Plus</t>
  </si>
  <si>
    <t>QT</t>
  </si>
  <si>
    <t>Dark-Fired Tobacco - Contract, Irrigated</t>
  </si>
  <si>
    <t xml:space="preserve">  Sidedress: (15-0-0)</t>
  </si>
  <si>
    <t>75HP + 3-18 Reversable Plow</t>
  </si>
  <si>
    <t>75HP + Offset Disk 7 FT</t>
  </si>
  <si>
    <t>55HP +Cultivator 2R</t>
  </si>
  <si>
    <t>55HP + Tobacco Transplanter 2R</t>
  </si>
  <si>
    <t>75HP + Subsoiler-Bedder 2R</t>
  </si>
  <si>
    <t>55HP + Boom Sprayer - 15 FT</t>
  </si>
  <si>
    <t>75HP + Tandem Disk 11FT Rigid</t>
  </si>
  <si>
    <t xml:space="preserve">Drop Line </t>
  </si>
  <si>
    <t xml:space="preserve">  Curing Fuel (Wood)</t>
  </si>
  <si>
    <t>75HP + Tobacco Trailer</t>
  </si>
  <si>
    <t>PUBLICATION 446-047-162</t>
  </si>
  <si>
    <t xml:space="preserve">  Tobacco Plants - Dark-Fired</t>
  </si>
  <si>
    <t>Dark-Fired Tobacco</t>
  </si>
  <si>
    <t xml:space="preserve">  Hand Production Labor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</si>
</sst>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b/>
      <sz val="11"/>
      <color indexed="8"/>
      <name val="Arial"/>
      <family val="2"/>
    </font>
    <font>
      <vertAlign val="subscript"/>
      <sz val="12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9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2" fontId="0" fillId="0" borderId="25" xfId="0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26" xfId="0" applyNumberFormat="1" applyFont="1" applyFill="1" applyBorder="1" applyAlignment="1" applyProtection="1">
      <alignment horizontal="left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0" fillId="0" borderId="3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2" fontId="0" fillId="0" borderId="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40" fontId="0" fillId="0" borderId="23" xfId="0" applyNumberFormat="1" applyFont="1" applyFill="1" applyBorder="1" applyAlignment="1" applyProtection="1">
      <alignment horizontal="center"/>
      <protection/>
    </xf>
    <xf numFmtId="40" fontId="0" fillId="0" borderId="23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 quotePrefix="1">
      <alignment horizontal="right"/>
      <protection/>
    </xf>
    <xf numFmtId="8" fontId="0" fillId="0" borderId="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7" fillId="0" borderId="3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left"/>
      <protection locked="0"/>
    </xf>
    <xf numFmtId="2" fontId="10" fillId="0" borderId="0" xfId="0" applyNumberFormat="1" applyFont="1" applyFill="1" applyAlignment="1" applyProtection="1">
      <alignment/>
      <protection locked="0"/>
    </xf>
    <xf numFmtId="1" fontId="23" fillId="0" borderId="0" xfId="0" applyNumberFormat="1" applyFont="1" applyFill="1" applyBorder="1" applyAlignment="1" applyProtection="1">
      <alignment/>
      <protection/>
    </xf>
    <xf numFmtId="2" fontId="10" fillId="0" borderId="0" xfId="0" applyFont="1" applyFill="1" applyAlignment="1" applyProtection="1">
      <alignment horizontal="right"/>
      <protection/>
    </xf>
    <xf numFmtId="2" fontId="19" fillId="0" borderId="23" xfId="0" applyNumberFormat="1" applyFont="1" applyFill="1" applyBorder="1" applyAlignment="1" applyProtection="1">
      <alignment/>
      <protection locked="0"/>
    </xf>
    <xf numFmtId="1" fontId="10" fillId="0" borderId="0" xfId="0" applyNumberFormat="1" applyFont="1" applyFill="1" applyAlignment="1" applyProtection="1">
      <alignment horizontal="right"/>
      <protection locked="0"/>
    </xf>
    <xf numFmtId="2" fontId="10" fillId="0" borderId="0" xfId="0" applyFont="1" applyFill="1" applyAlignment="1" applyProtection="1">
      <alignment horizontal="right"/>
      <protection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Fill="1" applyAlignment="1" applyProtection="1">
      <alignment horizontal="center"/>
      <protection locked="0"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41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8" customWidth="1"/>
    <col min="2" max="2" width="26.10546875" style="8" customWidth="1"/>
    <col min="3" max="3" width="4.4453125" style="8" customWidth="1"/>
    <col min="4" max="4" width="9.77734375" style="8" customWidth="1"/>
    <col min="5" max="5" width="9.88671875" style="8" customWidth="1"/>
    <col min="6" max="6" width="12.5546875" style="9" customWidth="1"/>
    <col min="7" max="7" width="12.99609375" style="8" customWidth="1"/>
    <col min="8" max="8" width="12.5546875" style="8" customWidth="1"/>
    <col min="9" max="12" width="9.6640625" style="8" customWidth="1"/>
    <col min="13" max="13" width="7.6640625" style="8" customWidth="1"/>
    <col min="14" max="14" width="9.6640625" style="8" customWidth="1"/>
    <col min="15" max="15" width="10.6640625" style="8" customWidth="1"/>
    <col min="16" max="16384" width="9.6640625" style="8" customWidth="1"/>
  </cols>
  <sheetData>
    <row r="1" ht="75.75" customHeight="1"/>
    <row r="2" spans="1:19" ht="19.5" customHeight="1">
      <c r="A2" s="10">
        <v>2007</v>
      </c>
      <c r="B2" s="11"/>
      <c r="C2" s="11"/>
      <c r="D2" s="11"/>
      <c r="E2" s="11"/>
      <c r="F2" s="12"/>
      <c r="G2" s="11"/>
      <c r="H2" s="13" t="s">
        <v>181</v>
      </c>
      <c r="S2" s="14" t="s">
        <v>0</v>
      </c>
    </row>
    <row r="3" spans="1:19" ht="27" customHeight="1">
      <c r="A3" s="236" t="s">
        <v>169</v>
      </c>
      <c r="B3" s="237"/>
      <c r="C3" s="237"/>
      <c r="D3" s="237"/>
      <c r="E3" s="237"/>
      <c r="F3" s="237"/>
      <c r="G3" s="237"/>
      <c r="H3" s="237"/>
      <c r="S3" s="14"/>
    </row>
    <row r="4" spans="2:19" ht="19.5" customHeight="1">
      <c r="B4" s="238" t="s">
        <v>25</v>
      </c>
      <c r="C4" s="237"/>
      <c r="D4" s="237"/>
      <c r="E4" s="237"/>
      <c r="F4" s="237"/>
      <c r="G4" s="237"/>
      <c r="H4" s="16" t="s">
        <v>49</v>
      </c>
      <c r="K4" s="14"/>
      <c r="S4" s="14" t="s">
        <v>0</v>
      </c>
    </row>
    <row r="5" spans="2:8" ht="17.25" customHeight="1" thickBot="1">
      <c r="B5" s="17"/>
      <c r="C5" s="175"/>
      <c r="D5" s="175">
        <f>E10</f>
        <v>1800</v>
      </c>
      <c r="E5" s="15" t="s">
        <v>120</v>
      </c>
      <c r="G5" s="18"/>
      <c r="H5" s="19">
        <v>1</v>
      </c>
    </row>
    <row r="6" spans="1:8" ht="15.75" customHeight="1" thickTop="1">
      <c r="A6" s="20"/>
      <c r="B6" s="20"/>
      <c r="C6" s="20"/>
      <c r="D6" s="20"/>
      <c r="E6" s="21" t="s">
        <v>5</v>
      </c>
      <c r="F6" s="22" t="s">
        <v>1</v>
      </c>
      <c r="G6" s="191" t="s">
        <v>2</v>
      </c>
      <c r="H6" s="192" t="s">
        <v>3</v>
      </c>
    </row>
    <row r="7" spans="1:19" ht="15">
      <c r="A7" s="23" t="s">
        <v>0</v>
      </c>
      <c r="B7" s="24"/>
      <c r="C7" s="24"/>
      <c r="D7" s="25" t="s">
        <v>4</v>
      </c>
      <c r="E7" s="26" t="s">
        <v>7</v>
      </c>
      <c r="F7" s="27" t="s">
        <v>6</v>
      </c>
      <c r="G7" s="193" t="s">
        <v>7</v>
      </c>
      <c r="H7" s="194" t="s">
        <v>8</v>
      </c>
      <c r="K7" s="14"/>
      <c r="S7" s="14" t="s">
        <v>0</v>
      </c>
    </row>
    <row r="8" spans="5:8" ht="15">
      <c r="E8" s="28"/>
      <c r="F8" s="29"/>
      <c r="G8" s="3"/>
      <c r="H8" s="118"/>
    </row>
    <row r="9" spans="1:8" ht="15.75">
      <c r="A9" s="31" t="s">
        <v>9</v>
      </c>
      <c r="E9" s="28"/>
      <c r="F9" s="29"/>
      <c r="G9" s="3"/>
      <c r="H9" s="118"/>
    </row>
    <row r="10" spans="2:19" ht="15.75">
      <c r="B10" s="15" t="s">
        <v>183</v>
      </c>
      <c r="C10" s="15"/>
      <c r="D10" s="32" t="s">
        <v>121</v>
      </c>
      <c r="E10" s="232">
        <v>1800</v>
      </c>
      <c r="F10" s="34">
        <v>1.98</v>
      </c>
      <c r="G10" s="2">
        <f>ROUND((E10*F10),2)</f>
        <v>3564</v>
      </c>
      <c r="H10" s="117" t="str">
        <f>IF($H$5=1," ",IF(E10=0," ",$H$5*G10))</f>
        <v> </v>
      </c>
      <c r="K10" s="14"/>
      <c r="S10" s="14" t="s">
        <v>0</v>
      </c>
    </row>
    <row r="11" spans="4:24" ht="15">
      <c r="D11" s="32" t="s">
        <v>0</v>
      </c>
      <c r="E11" s="28" t="s">
        <v>0</v>
      </c>
      <c r="F11" s="29" t="s">
        <v>0</v>
      </c>
      <c r="G11" s="2"/>
      <c r="H11" s="118"/>
      <c r="L11" s="15"/>
      <c r="S11" s="14" t="s">
        <v>0</v>
      </c>
      <c r="X11" s="36" t="s">
        <v>0</v>
      </c>
    </row>
    <row r="12" spans="2:24" ht="15.75">
      <c r="B12" s="15" t="s">
        <v>10</v>
      </c>
      <c r="C12" s="15"/>
      <c r="E12" s="28"/>
      <c r="F12" s="29"/>
      <c r="G12" s="119">
        <f>SUM(G10:G11)</f>
        <v>3564</v>
      </c>
      <c r="H12" s="117" t="str">
        <f>IF(G12=0," ",IF($H$5=1," ",$H$5*G12))</f>
        <v> </v>
      </c>
      <c r="K12" s="14"/>
      <c r="L12" s="15"/>
      <c r="S12" s="14" t="s">
        <v>0</v>
      </c>
      <c r="X12" s="36" t="s">
        <v>0</v>
      </c>
    </row>
    <row r="13" spans="4:24" ht="15">
      <c r="D13" s="32" t="s">
        <v>0</v>
      </c>
      <c r="E13" s="28" t="s">
        <v>0</v>
      </c>
      <c r="F13" s="29" t="s">
        <v>0</v>
      </c>
      <c r="G13" s="3" t="s">
        <v>0</v>
      </c>
      <c r="H13" s="118"/>
      <c r="K13" s="14"/>
      <c r="L13" s="15"/>
      <c r="S13" s="14" t="s">
        <v>0</v>
      </c>
      <c r="X13" s="36" t="s">
        <v>0</v>
      </c>
    </row>
    <row r="14" spans="1:24" ht="15.75">
      <c r="A14" s="31" t="s">
        <v>27</v>
      </c>
      <c r="D14" s="32" t="s">
        <v>0</v>
      </c>
      <c r="E14" s="28" t="s">
        <v>0</v>
      </c>
      <c r="F14" s="29" t="s">
        <v>0</v>
      </c>
      <c r="G14" s="3" t="s">
        <v>0</v>
      </c>
      <c r="H14" s="118"/>
      <c r="K14" s="14"/>
      <c r="S14" s="14" t="s">
        <v>0</v>
      </c>
      <c r="X14" s="36" t="s">
        <v>0</v>
      </c>
    </row>
    <row r="15" spans="2:19" ht="15.75">
      <c r="B15" s="37" t="s">
        <v>182</v>
      </c>
      <c r="C15" s="15"/>
      <c r="D15" s="227" t="s">
        <v>122</v>
      </c>
      <c r="E15" s="33">
        <v>6.5</v>
      </c>
      <c r="F15" s="116">
        <v>30</v>
      </c>
      <c r="G15" s="2">
        <f>ROUND((E15*F15),2)</f>
        <v>195</v>
      </c>
      <c r="H15" s="117" t="str">
        <f>IF($H$5=1," ",IF(E15=0," ",$H$5*G15))</f>
        <v> </v>
      </c>
      <c r="S15" s="14" t="s">
        <v>0</v>
      </c>
    </row>
    <row r="16" spans="2:19" ht="15.75">
      <c r="B16" s="37" t="s">
        <v>125</v>
      </c>
      <c r="C16" s="15"/>
      <c r="D16" s="227" t="s">
        <v>126</v>
      </c>
      <c r="E16" s="33">
        <v>2</v>
      </c>
      <c r="F16" s="116">
        <v>10.35</v>
      </c>
      <c r="G16" s="2">
        <f>ROUND((E16*F16),2)</f>
        <v>20.7</v>
      </c>
      <c r="H16" s="117" t="str">
        <f>IF($H$5=1," ",IF(E16=0," ",$H$5*G16))</f>
        <v> </v>
      </c>
      <c r="S16" s="14"/>
    </row>
    <row r="17" spans="2:19" ht="15.75">
      <c r="B17" s="15" t="s">
        <v>131</v>
      </c>
      <c r="C17" s="15"/>
      <c r="D17" s="32" t="s">
        <v>23</v>
      </c>
      <c r="E17" s="33">
        <v>0.56</v>
      </c>
      <c r="F17" s="34">
        <v>32.5</v>
      </c>
      <c r="G17" s="2">
        <f>ROUND((E17*F17),2)</f>
        <v>18.2</v>
      </c>
      <c r="H17" s="117" t="str">
        <f>IF($H$5=1," ",IF(E17=0," ",$H$5*G17))</f>
        <v> </v>
      </c>
      <c r="K17" s="14"/>
      <c r="L17" s="15"/>
      <c r="S17" s="14" t="s">
        <v>0</v>
      </c>
    </row>
    <row r="18" spans="2:19" ht="15.75">
      <c r="B18" s="228" t="s">
        <v>128</v>
      </c>
      <c r="C18" s="15"/>
      <c r="D18" s="32" t="s">
        <v>127</v>
      </c>
      <c r="E18" s="230">
        <v>8.5</v>
      </c>
      <c r="F18" s="34">
        <v>19.25</v>
      </c>
      <c r="G18" s="2">
        <f>IF(C18=N(ISNUMBER(C18)),ROUND((E18*F18),2),ROUND((C18*F18),2))</f>
        <v>163.63</v>
      </c>
      <c r="H18" s="117" t="str">
        <f aca="true" t="shared" si="0" ref="H18:H32">IF($H$5=1," ",IF(E18=0," ",$H$5*G18))</f>
        <v> </v>
      </c>
      <c r="K18" s="14"/>
      <c r="S18" s="14" t="s">
        <v>0</v>
      </c>
    </row>
    <row r="19" spans="2:19" ht="15.75">
      <c r="B19" s="228" t="s">
        <v>170</v>
      </c>
      <c r="C19" s="15"/>
      <c r="D19" s="32" t="s">
        <v>127</v>
      </c>
      <c r="E19" s="230">
        <v>2.5</v>
      </c>
      <c r="F19" s="34">
        <v>18.3</v>
      </c>
      <c r="G19" s="2">
        <f>IF(C19=N(ISNUMBER(C19)),ROUND((E19*F19),2),ROUND((C19*F19),2))</f>
        <v>45.75</v>
      </c>
      <c r="H19" s="117" t="str">
        <f>IF($H$5=1," ",IF(E19=0," ",$H$5*G19))</f>
        <v> </v>
      </c>
      <c r="K19" s="14"/>
      <c r="S19" s="14" t="s">
        <v>0</v>
      </c>
    </row>
    <row r="20" spans="2:19" ht="15.75">
      <c r="B20" s="15" t="s">
        <v>147</v>
      </c>
      <c r="C20" s="15"/>
      <c r="D20" s="32" t="s">
        <v>11</v>
      </c>
      <c r="E20" s="178">
        <f aca="true" t="shared" si="1" ref="E20:E26">$E$52</f>
        <v>1</v>
      </c>
      <c r="F20" s="179">
        <f>IF(A118="H",G118,0)+IF(A119="H",G119,0)+IF(A120="H",G120,0)+IF(A121="H",G121,0)+IF(A122="H",G122,0)+IF(A123="H",G123,0)+IF(A124="H",G124,0)+IF(A125="H",G125,0)+IF(A126="H",G126,0)+IF(A127="H",G127,0)+IF(A128="H",G128,0)+IF(A129="H",G129,0)+IF(A130="H",G130,0)</f>
        <v>5.36</v>
      </c>
      <c r="G20" s="2">
        <f aca="true" t="shared" si="2" ref="G20:G30">ROUND((E20*F20),2)</f>
        <v>5.36</v>
      </c>
      <c r="H20" s="117" t="str">
        <f>IF($H$5=1," ",IF(E20=0," ",$H$5*G20))</f>
        <v> </v>
      </c>
      <c r="K20" s="14"/>
      <c r="L20" s="15"/>
      <c r="S20" s="14" t="s">
        <v>0</v>
      </c>
    </row>
    <row r="21" spans="2:19" ht="15.75">
      <c r="B21" s="15" t="s">
        <v>148</v>
      </c>
      <c r="C21" s="15"/>
      <c r="D21" s="32" t="s">
        <v>11</v>
      </c>
      <c r="E21" s="178">
        <f t="shared" si="1"/>
        <v>1</v>
      </c>
      <c r="F21" s="179">
        <f>IF(A118="i",G118,0)+IF(A119="i",G119,0)+IF(A120="i",G120,0)+IF(A121="i",G121,0)+IF(A122="i",G122,0)+IF(A123="i",G123,0)+IF(A124="i",G124,0)+IF(A125="i",G125,0)+IF(A126="i",G126,0)+IF(A127="i",G127,0)+IF(A128="i",G128,0)+IF(A129="i",G129,0)+IF(A130="i",G130,0)</f>
        <v>68.78</v>
      </c>
      <c r="G21" s="2">
        <f t="shared" si="2"/>
        <v>68.78</v>
      </c>
      <c r="H21" s="117" t="str">
        <f>IF($H$5=1," ",IF(E21=0," ",$H$5*G21))</f>
        <v> </v>
      </c>
      <c r="K21" s="14"/>
      <c r="L21" s="15"/>
      <c r="S21" s="14"/>
    </row>
    <row r="22" spans="2:19" ht="15.75">
      <c r="B22" s="15" t="s">
        <v>149</v>
      </c>
      <c r="C22" s="15"/>
      <c r="D22" s="32" t="s">
        <v>11</v>
      </c>
      <c r="E22" s="178">
        <f t="shared" si="1"/>
        <v>1</v>
      </c>
      <c r="F22" s="179">
        <f>IF(A118="F",G118,0)+IF(A119="F",G119,0)+IF(A120="F",G120,0)+IF(A121="F",G121,0)+IF(A122="F",G122,0)+IF(A123="F",G123,0)+IF(A124="F",G124,0)+IF(A125="F",G125,0)+IF(A126="F",G126,0)+IF(A127="F",G127,0)+IF(A128="F",G128,0)+IF(A129="F",G129,0)+IF(A130="F",G130,0)</f>
        <v>88.03</v>
      </c>
      <c r="G22" s="2">
        <f t="shared" si="2"/>
        <v>88.03</v>
      </c>
      <c r="H22" s="117" t="str">
        <f>IF($H$5=1," ",IF(E22=0," ",$H$5*G22))</f>
        <v> </v>
      </c>
      <c r="K22" s="14"/>
      <c r="L22" s="15"/>
      <c r="S22" s="14"/>
    </row>
    <row r="23" spans="2:19" ht="15.75">
      <c r="B23" s="15" t="s">
        <v>146</v>
      </c>
      <c r="C23" s="15"/>
      <c r="D23" s="32" t="s">
        <v>11</v>
      </c>
      <c r="E23" s="178">
        <f t="shared" si="1"/>
        <v>1</v>
      </c>
      <c r="F23" s="179">
        <f>IF(A118="X",G118,0)+IF(A119="X",G119,0)+IF(A120="X",G120,0)+IF(A121="X",G121,0)+IF(A122="X",G122,0)+IF(A123="X",G123,0)+IF(A124="X",G124,0)+IF(A125="X",G125,0)+IF(A126="X",G126,0)+IF(A127="X",G127,0)+IF(A128="X",G128,0)+IF(A129="X",G129,0)+IF(A130="X",G130,0)</f>
        <v>0</v>
      </c>
      <c r="G23" s="2">
        <f t="shared" si="2"/>
        <v>0</v>
      </c>
      <c r="H23" s="117" t="str">
        <f>IF($H$5=1," ",IF(E23=0," ",$H$5*G23))</f>
        <v> </v>
      </c>
      <c r="K23" s="14"/>
      <c r="L23" s="15"/>
      <c r="S23" s="14"/>
    </row>
    <row r="24" spans="2:19" ht="15.75">
      <c r="B24" s="15" t="s">
        <v>150</v>
      </c>
      <c r="C24" s="15"/>
      <c r="D24" s="32" t="s">
        <v>11</v>
      </c>
      <c r="E24" s="178">
        <f t="shared" si="1"/>
        <v>1</v>
      </c>
      <c r="F24" s="179">
        <f>IF(A118="G",G118,0)+IF(A119="G",G119,0)+IF(A120="G",G120,0)+IF(A121="G",G121,0)+IF(A122="G",G122,0)+IF(A123="G",G123,0)+IF(A124="G",G124,0)+IF(A125="G",G125,0)+IF(A126="G",G126,0)+IF(A127="G",G127,0)+IF(A128="G",G128,0)+IF(A129="G",G129,0)+IF(A130="G",G130,0)</f>
        <v>54.22</v>
      </c>
      <c r="G24" s="2">
        <f t="shared" si="2"/>
        <v>54.22</v>
      </c>
      <c r="H24" s="117" t="str">
        <f t="shared" si="0"/>
        <v> </v>
      </c>
      <c r="K24" s="14"/>
      <c r="L24" s="15"/>
      <c r="S24" s="14"/>
    </row>
    <row r="25" spans="2:19" ht="15.75">
      <c r="B25" s="15" t="s">
        <v>151</v>
      </c>
      <c r="C25" s="15"/>
      <c r="D25" s="32" t="s">
        <v>11</v>
      </c>
      <c r="E25" s="178">
        <f t="shared" si="1"/>
        <v>1</v>
      </c>
      <c r="F25" s="34">
        <v>119.7</v>
      </c>
      <c r="G25" s="2">
        <f t="shared" si="2"/>
        <v>119.7</v>
      </c>
      <c r="H25" s="117" t="str">
        <f>IF($H$5=1," ",IF(E25=0," ",$H$5*G25))</f>
        <v> </v>
      </c>
      <c r="K25" s="14"/>
      <c r="L25" s="15"/>
      <c r="S25" s="14"/>
    </row>
    <row r="26" spans="2:19" ht="15.75">
      <c r="B26" s="15" t="s">
        <v>145</v>
      </c>
      <c r="C26" s="15"/>
      <c r="D26" s="32" t="s">
        <v>11</v>
      </c>
      <c r="E26" s="178">
        <f t="shared" si="1"/>
        <v>1</v>
      </c>
      <c r="F26" s="34">
        <v>0</v>
      </c>
      <c r="G26" s="2">
        <f t="shared" si="2"/>
        <v>0</v>
      </c>
      <c r="H26" s="117" t="str">
        <f>IF($H$5=1," ",IF(E26=0," ",$H$5*G26))</f>
        <v> </v>
      </c>
      <c r="K26" s="14"/>
      <c r="L26" s="15"/>
      <c r="S26" s="14"/>
    </row>
    <row r="27" spans="2:19" ht="15.75">
      <c r="B27" s="15" t="s">
        <v>140</v>
      </c>
      <c r="C27" s="15"/>
      <c r="D27" s="32" t="s">
        <v>56</v>
      </c>
      <c r="E27" s="178">
        <f>F84/F94</f>
        <v>45.259574468085106</v>
      </c>
      <c r="F27" s="187">
        <v>2.35</v>
      </c>
      <c r="G27" s="2">
        <f t="shared" si="2"/>
        <v>106.36</v>
      </c>
      <c r="H27" s="117" t="str">
        <f t="shared" si="0"/>
        <v> </v>
      </c>
      <c r="K27" s="14"/>
      <c r="L27" s="15"/>
      <c r="S27" s="14"/>
    </row>
    <row r="28" spans="2:19" ht="15.75">
      <c r="B28" s="15" t="s">
        <v>141</v>
      </c>
      <c r="C28" s="15"/>
      <c r="D28" s="32" t="s">
        <v>11</v>
      </c>
      <c r="E28" s="178">
        <f>$E$52</f>
        <v>1</v>
      </c>
      <c r="F28" s="177">
        <f>G84</f>
        <v>58.879999999999995</v>
      </c>
      <c r="G28" s="2">
        <f t="shared" si="2"/>
        <v>58.88</v>
      </c>
      <c r="H28" s="117" t="str">
        <f t="shared" si="0"/>
        <v> </v>
      </c>
      <c r="K28" s="14"/>
      <c r="L28" s="15"/>
      <c r="S28" s="14"/>
    </row>
    <row r="29" spans="2:19" ht="15.75">
      <c r="B29" s="15" t="s">
        <v>142</v>
      </c>
      <c r="C29" s="15"/>
      <c r="D29" s="32" t="s">
        <v>12</v>
      </c>
      <c r="E29" s="178">
        <f>D84</f>
        <v>23.91</v>
      </c>
      <c r="F29" s="34">
        <v>12</v>
      </c>
      <c r="G29" s="2">
        <f t="shared" si="2"/>
        <v>286.92</v>
      </c>
      <c r="H29" s="117" t="str">
        <f t="shared" si="0"/>
        <v> </v>
      </c>
      <c r="K29" s="14"/>
      <c r="L29" s="15"/>
      <c r="S29" s="14"/>
    </row>
    <row r="30" spans="2:19" ht="15.75">
      <c r="B30" s="15" t="s">
        <v>184</v>
      </c>
      <c r="C30" s="15"/>
      <c r="D30" s="32" t="s">
        <v>12</v>
      </c>
      <c r="E30" s="230">
        <v>40</v>
      </c>
      <c r="F30" s="34">
        <v>11.02</v>
      </c>
      <c r="G30" s="2">
        <f t="shared" si="2"/>
        <v>440.8</v>
      </c>
      <c r="H30" s="117"/>
      <c r="K30" s="14"/>
      <c r="L30" s="15"/>
      <c r="S30" s="14"/>
    </row>
    <row r="31" spans="2:19" ht="15.75">
      <c r="B31" s="15"/>
      <c r="C31" s="15"/>
      <c r="D31" s="32"/>
      <c r="E31" s="33"/>
      <c r="F31" s="35"/>
      <c r="G31" s="2"/>
      <c r="H31" s="117" t="str">
        <f t="shared" si="0"/>
        <v> </v>
      </c>
      <c r="K31" s="14"/>
      <c r="L31" s="15"/>
      <c r="S31" s="14"/>
    </row>
    <row r="32" spans="2:19" ht="15.75">
      <c r="B32" s="15" t="s">
        <v>28</v>
      </c>
      <c r="C32" s="214">
        <v>8</v>
      </c>
      <c r="D32" s="32" t="s">
        <v>67</v>
      </c>
      <c r="E32" s="2">
        <f>SUM(G14:G31)*$C$32/12</f>
        <v>1114.8866666666665</v>
      </c>
      <c r="F32" s="131">
        <v>0.07</v>
      </c>
      <c r="G32" s="2">
        <f>ROUND((E32*F32),2)</f>
        <v>78.04</v>
      </c>
      <c r="H32" s="117" t="str">
        <f t="shared" si="0"/>
        <v> </v>
      </c>
      <c r="K32" s="14"/>
      <c r="L32" s="15"/>
      <c r="S32" s="14"/>
    </row>
    <row r="33" spans="5:8" ht="16.5" thickBot="1">
      <c r="E33" s="3"/>
      <c r="F33" s="29"/>
      <c r="G33" s="120"/>
      <c r="H33" s="120"/>
    </row>
    <row r="34" spans="1:24" ht="16.5" thickTop="1">
      <c r="A34" s="39"/>
      <c r="B34" s="40" t="s">
        <v>29</v>
      </c>
      <c r="C34" s="40"/>
      <c r="D34" s="40"/>
      <c r="E34" s="121">
        <f>G34/E10</f>
        <v>0.9724277777777777</v>
      </c>
      <c r="F34" s="41" t="s">
        <v>129</v>
      </c>
      <c r="G34" s="121">
        <f>SUM(G14:G32)</f>
        <v>1750.37</v>
      </c>
      <c r="H34" s="117" t="str">
        <f>IF(G34=0," ",IF($H$5=1," ",$H$5*G34))</f>
        <v> </v>
      </c>
      <c r="K34" s="14"/>
      <c r="S34" s="14" t="s">
        <v>0</v>
      </c>
      <c r="X34" s="36" t="s">
        <v>0</v>
      </c>
    </row>
    <row r="35" spans="5:19" ht="15" customHeight="1">
      <c r="E35" s="28"/>
      <c r="F35" s="29"/>
      <c r="G35" s="3"/>
      <c r="H35" s="118"/>
      <c r="K35" s="14"/>
      <c r="S35" s="14" t="s">
        <v>0</v>
      </c>
    </row>
    <row r="36" spans="1:19" ht="15" customHeight="1">
      <c r="A36" s="31" t="s">
        <v>42</v>
      </c>
      <c r="E36" s="28"/>
      <c r="F36" s="29"/>
      <c r="G36" s="3"/>
      <c r="H36" s="118"/>
      <c r="K36" s="14"/>
      <c r="S36" s="14"/>
    </row>
    <row r="37" spans="2:19" ht="15" customHeight="1">
      <c r="B37" s="15" t="s">
        <v>140</v>
      </c>
      <c r="C37" s="15"/>
      <c r="D37" s="32" t="s">
        <v>56</v>
      </c>
      <c r="E37" s="178">
        <f>F92/F94</f>
        <v>18.931914893617023</v>
      </c>
      <c r="F37" s="186">
        <v>2.35</v>
      </c>
      <c r="G37" s="2">
        <f aca="true" t="shared" si="3" ref="G37:G43">ROUND((E37*F37),2)</f>
        <v>44.49</v>
      </c>
      <c r="H37" s="117" t="str">
        <f aca="true" t="shared" si="4" ref="H37:H43">IF($H$5=1," ",IF(E37=0," ",$H$5*G37))</f>
        <v> </v>
      </c>
      <c r="K37" s="14"/>
      <c r="S37" s="14"/>
    </row>
    <row r="38" spans="2:19" ht="15" customHeight="1">
      <c r="B38" s="15" t="s">
        <v>141</v>
      </c>
      <c r="C38" s="15"/>
      <c r="D38" s="32" t="s">
        <v>11</v>
      </c>
      <c r="E38" s="178">
        <f>$E$52</f>
        <v>1</v>
      </c>
      <c r="F38" s="176">
        <f>G92</f>
        <v>17.36</v>
      </c>
      <c r="G38" s="2">
        <f t="shared" si="3"/>
        <v>17.36</v>
      </c>
      <c r="H38" s="117" t="str">
        <f t="shared" si="4"/>
        <v> </v>
      </c>
      <c r="K38" s="14"/>
      <c r="S38" s="14"/>
    </row>
    <row r="39" spans="2:19" ht="15" customHeight="1">
      <c r="B39" s="15" t="s">
        <v>142</v>
      </c>
      <c r="C39" s="15"/>
      <c r="D39" s="32" t="s">
        <v>12</v>
      </c>
      <c r="E39" s="178">
        <f>D92</f>
        <v>5.09</v>
      </c>
      <c r="F39" s="176">
        <v>12</v>
      </c>
      <c r="G39" s="2">
        <f t="shared" si="3"/>
        <v>61.08</v>
      </c>
      <c r="H39" s="117"/>
      <c r="K39" s="14"/>
      <c r="S39" s="14"/>
    </row>
    <row r="40" spans="2:19" ht="15.75">
      <c r="B40" s="15" t="s">
        <v>143</v>
      </c>
      <c r="C40" s="15"/>
      <c r="D40" s="32" t="s">
        <v>12</v>
      </c>
      <c r="E40" s="233">
        <v>160</v>
      </c>
      <c r="F40" s="1">
        <v>11.02</v>
      </c>
      <c r="G40" s="2">
        <f t="shared" si="3"/>
        <v>1763.2</v>
      </c>
      <c r="H40" s="117" t="str">
        <f t="shared" si="4"/>
        <v> </v>
      </c>
      <c r="K40" s="14"/>
      <c r="S40" s="14" t="s">
        <v>0</v>
      </c>
    </row>
    <row r="41" spans="2:19" ht="15.75">
      <c r="B41" s="15" t="s">
        <v>179</v>
      </c>
      <c r="C41" s="214"/>
      <c r="D41" s="32" t="s">
        <v>11</v>
      </c>
      <c r="E41" s="3">
        <v>1</v>
      </c>
      <c r="F41" s="1"/>
      <c r="G41" s="2">
        <f t="shared" si="3"/>
        <v>0</v>
      </c>
      <c r="H41" s="117" t="str">
        <f t="shared" si="4"/>
        <v> </v>
      </c>
      <c r="K41" s="14"/>
      <c r="S41" s="14" t="s">
        <v>0</v>
      </c>
    </row>
    <row r="42" spans="2:19" ht="15.75">
      <c r="B42" s="15" t="s">
        <v>144</v>
      </c>
      <c r="C42" s="15"/>
      <c r="D42" s="32" t="s">
        <v>11</v>
      </c>
      <c r="E42" s="3">
        <v>1</v>
      </c>
      <c r="F42" s="1">
        <v>25</v>
      </c>
      <c r="G42" s="2">
        <f t="shared" si="3"/>
        <v>25</v>
      </c>
      <c r="H42" s="117" t="str">
        <f t="shared" si="4"/>
        <v> </v>
      </c>
      <c r="K42" s="14"/>
      <c r="S42" s="14" t="s">
        <v>0</v>
      </c>
    </row>
    <row r="43" spans="2:19" ht="15.75">
      <c r="B43" s="15" t="s">
        <v>139</v>
      </c>
      <c r="C43" s="15"/>
      <c r="D43" s="32" t="s">
        <v>11</v>
      </c>
      <c r="E43" s="3">
        <v>1</v>
      </c>
      <c r="F43" s="1">
        <v>30</v>
      </c>
      <c r="G43" s="2">
        <f t="shared" si="3"/>
        <v>30</v>
      </c>
      <c r="H43" s="117" t="str">
        <f t="shared" si="4"/>
        <v> </v>
      </c>
      <c r="K43" s="14"/>
      <c r="S43" s="14" t="s">
        <v>0</v>
      </c>
    </row>
    <row r="44" spans="5:24" ht="16.5" thickBot="1">
      <c r="E44" s="3"/>
      <c r="F44" s="29"/>
      <c r="G44" s="120"/>
      <c r="H44" s="120"/>
      <c r="K44" s="14"/>
      <c r="S44" s="14" t="s">
        <v>0</v>
      </c>
      <c r="X44" s="36" t="s">
        <v>0</v>
      </c>
    </row>
    <row r="45" spans="1:24" ht="16.5" thickTop="1">
      <c r="A45" s="39"/>
      <c r="B45" s="40" t="s">
        <v>30</v>
      </c>
      <c r="C45" s="24"/>
      <c r="D45" s="24"/>
      <c r="E45" s="121">
        <f>G45/E10</f>
        <v>1.0784055555555556</v>
      </c>
      <c r="F45" s="41" t="s">
        <v>129</v>
      </c>
      <c r="G45" s="121">
        <f>SUM(G36:G44)</f>
        <v>1941.13</v>
      </c>
      <c r="H45" s="117" t="str">
        <f>IF(G45=0," ",IF($H$5=1," ",$H$5*G45))</f>
        <v> </v>
      </c>
      <c r="K45" s="14"/>
      <c r="S45" s="14" t="s">
        <v>0</v>
      </c>
      <c r="X45" s="36" t="s">
        <v>0</v>
      </c>
    </row>
    <row r="46" spans="1:24" ht="15.75">
      <c r="A46" s="42"/>
      <c r="B46" s="43"/>
      <c r="C46" s="188" t="s">
        <v>58</v>
      </c>
      <c r="D46" s="43"/>
      <c r="E46" s="234" t="s">
        <v>57</v>
      </c>
      <c r="F46" s="235"/>
      <c r="G46" s="122"/>
      <c r="H46" s="123"/>
      <c r="K46" s="14"/>
      <c r="S46" s="14"/>
      <c r="X46" s="36"/>
    </row>
    <row r="47" spans="1:24" ht="15.75">
      <c r="A47" s="45" t="s">
        <v>59</v>
      </c>
      <c r="B47" s="45"/>
      <c r="C47" s="229">
        <f>G47/$F$10</f>
        <v>1864.3939393939395</v>
      </c>
      <c r="D47" s="206" t="s">
        <v>124</v>
      </c>
      <c r="E47" s="122">
        <f>G47/$E$10</f>
        <v>2.0508333333333333</v>
      </c>
      <c r="F47" s="190" t="s">
        <v>129</v>
      </c>
      <c r="G47" s="122">
        <f>G34+G45</f>
        <v>3691.5</v>
      </c>
      <c r="H47" s="117" t="str">
        <f>IF(G47=0," ",IF($H$5=1," ",$H$5*G47))</f>
        <v> </v>
      </c>
      <c r="K47" s="14"/>
      <c r="S47" s="14"/>
      <c r="X47" s="36"/>
    </row>
    <row r="48" spans="1:24" ht="15.75">
      <c r="A48" s="45"/>
      <c r="B48" s="45"/>
      <c r="C48" s="189"/>
      <c r="D48" s="32"/>
      <c r="E48" s="122"/>
      <c r="F48" s="190"/>
      <c r="G48" s="122"/>
      <c r="H48" s="202"/>
      <c r="K48" s="14"/>
      <c r="S48" s="14"/>
      <c r="X48" s="36"/>
    </row>
    <row r="49" spans="1:24" ht="15.75">
      <c r="A49" s="45" t="s">
        <v>61</v>
      </c>
      <c r="B49" s="45"/>
      <c r="C49" s="189"/>
      <c r="D49" s="32"/>
      <c r="E49" s="122"/>
      <c r="F49" s="190"/>
      <c r="G49" s="122">
        <f>G12-G47</f>
        <v>-127.5</v>
      </c>
      <c r="H49" s="117" t="str">
        <f>IF(G49=0," ",IF($H$5=1," ",$H$5*G49))</f>
        <v> </v>
      </c>
      <c r="K49" s="14"/>
      <c r="S49" s="14"/>
      <c r="X49" s="36"/>
    </row>
    <row r="50" spans="7:8" ht="15">
      <c r="G50" s="124"/>
      <c r="H50" s="124"/>
    </row>
    <row r="51" spans="1:24" ht="19.5" customHeight="1">
      <c r="A51" s="31" t="s">
        <v>62</v>
      </c>
      <c r="D51" s="32"/>
      <c r="E51" s="28"/>
      <c r="F51" s="29"/>
      <c r="G51" s="3" t="s">
        <v>0</v>
      </c>
      <c r="H51" s="118"/>
      <c r="K51" s="14"/>
      <c r="L51" s="15"/>
      <c r="S51" s="14" t="s">
        <v>0</v>
      </c>
      <c r="X51" s="36" t="s">
        <v>0</v>
      </c>
    </row>
    <row r="52" spans="2:8" ht="15.75">
      <c r="B52" s="15" t="s">
        <v>60</v>
      </c>
      <c r="C52" s="15"/>
      <c r="D52" s="32" t="s">
        <v>11</v>
      </c>
      <c r="E52" s="38">
        <v>1</v>
      </c>
      <c r="F52" s="176">
        <f>H84+H92</f>
        <v>287.14000000000004</v>
      </c>
      <c r="G52" s="2">
        <f>ROUND((E52*F52),2)</f>
        <v>287.14</v>
      </c>
      <c r="H52" s="117" t="str">
        <f>IF($H$5=1," ",IF(E52=0," ",$H$5*G52))</f>
        <v> </v>
      </c>
    </row>
    <row r="53" spans="1:19" ht="16.5" customHeight="1">
      <c r="A53" s="31" t="s">
        <v>63</v>
      </c>
      <c r="E53" s="28"/>
      <c r="F53" s="29"/>
      <c r="G53" s="3"/>
      <c r="H53" s="118"/>
      <c r="K53" s="14"/>
      <c r="L53" s="15"/>
      <c r="S53" s="14" t="s">
        <v>0</v>
      </c>
    </row>
    <row r="54" spans="2:24" ht="18.75" customHeight="1">
      <c r="B54" s="15" t="s">
        <v>44</v>
      </c>
      <c r="C54" s="15"/>
      <c r="D54" s="32" t="s">
        <v>13</v>
      </c>
      <c r="E54" s="2">
        <f>(G47)</f>
        <v>3691.5</v>
      </c>
      <c r="F54" s="131">
        <v>0.08</v>
      </c>
      <c r="G54" s="2">
        <f>ROUND((E54*F54),2)</f>
        <v>295.32</v>
      </c>
      <c r="H54" s="117" t="str">
        <f>IF($H$5=1," ",IF(E54=0," ",$H$5*G54))</f>
        <v> </v>
      </c>
      <c r="K54" s="14"/>
      <c r="L54" s="15"/>
      <c r="S54" s="14" t="s">
        <v>0</v>
      </c>
      <c r="X54" s="36" t="s">
        <v>0</v>
      </c>
    </row>
    <row r="55" spans="4:19" ht="16.5" thickBot="1">
      <c r="D55" s="32" t="s">
        <v>0</v>
      </c>
      <c r="E55" s="3" t="s">
        <v>0</v>
      </c>
      <c r="F55" s="29"/>
      <c r="G55" s="125"/>
      <c r="H55" s="126"/>
      <c r="K55" s="14"/>
      <c r="S55" s="14" t="s">
        <v>0</v>
      </c>
    </row>
    <row r="56" spans="1:19" ht="16.5" thickTop="1">
      <c r="A56" s="203" t="s">
        <v>64</v>
      </c>
      <c r="E56" s="3"/>
      <c r="F56" s="29"/>
      <c r="G56" s="127">
        <f>SUM(G52:G54)</f>
        <v>582.46</v>
      </c>
      <c r="H56" s="117" t="str">
        <f>IF(G56=0," ",IF($H$5=1," ",$H$5*G56))</f>
        <v> </v>
      </c>
      <c r="K56" s="14"/>
      <c r="S56" s="14" t="s">
        <v>0</v>
      </c>
    </row>
    <row r="57" spans="5:24" ht="15">
      <c r="E57" s="3"/>
      <c r="F57" s="29"/>
      <c r="G57" s="3"/>
      <c r="H57" s="118"/>
      <c r="K57" s="14"/>
      <c r="S57" s="14" t="s">
        <v>0</v>
      </c>
      <c r="X57" s="36" t="s">
        <v>0</v>
      </c>
    </row>
    <row r="58" spans="1:24" ht="16.5" thickBot="1">
      <c r="A58" s="45" t="s">
        <v>119</v>
      </c>
      <c r="B58" s="46"/>
      <c r="C58" s="46"/>
      <c r="D58" s="46"/>
      <c r="E58" s="122">
        <f>G58/$E$10</f>
        <v>2.3744222222222224</v>
      </c>
      <c r="F58" s="44" t="s">
        <v>129</v>
      </c>
      <c r="G58" s="128">
        <f>G47+G56</f>
        <v>4273.96</v>
      </c>
      <c r="H58" s="117" t="str">
        <f>IF(G58=0," ",IF($H$5=1," ",$H$5*G58))</f>
        <v> </v>
      </c>
      <c r="K58" s="14"/>
      <c r="S58" s="14" t="s">
        <v>0</v>
      </c>
      <c r="X58" s="36" t="s">
        <v>0</v>
      </c>
    </row>
    <row r="59" spans="5:19" ht="16.5" thickBot="1" thickTop="1">
      <c r="E59" s="28"/>
      <c r="F59" s="29"/>
      <c r="G59" s="2"/>
      <c r="H59" s="118"/>
      <c r="K59" s="14"/>
      <c r="S59" s="14" t="s">
        <v>0</v>
      </c>
    </row>
    <row r="60" spans="1:24" ht="18.75" customHeight="1" thickBot="1" thickTop="1">
      <c r="A60" s="47" t="s">
        <v>65</v>
      </c>
      <c r="B60" s="47"/>
      <c r="C60" s="47"/>
      <c r="D60" s="47"/>
      <c r="E60" s="48"/>
      <c r="F60" s="49"/>
      <c r="G60" s="129">
        <f>G12-G58</f>
        <v>-709.96</v>
      </c>
      <c r="H60" s="130" t="str">
        <f>IF(G60=0," ",IF($H$5=1," ",$H$5*G60))</f>
        <v> </v>
      </c>
      <c r="K60" s="14"/>
      <c r="S60" s="14" t="s">
        <v>0</v>
      </c>
      <c r="X60" s="36" t="s">
        <v>0</v>
      </c>
    </row>
    <row r="61" spans="1:24" s="51" customFormat="1" ht="15.75" thickTop="1">
      <c r="A61" s="50" t="s">
        <v>130</v>
      </c>
      <c r="F61" s="52"/>
      <c r="K61" s="53"/>
      <c r="S61" s="53" t="s">
        <v>0</v>
      </c>
      <c r="X61" s="54" t="s">
        <v>0</v>
      </c>
    </row>
    <row r="62" ht="15">
      <c r="A62" s="50"/>
    </row>
    <row r="63" ht="15"/>
    <row r="64" ht="15"/>
    <row r="65" spans="11:24" ht="15.75" thickBot="1">
      <c r="K65" s="14"/>
      <c r="L65" s="15"/>
      <c r="S65" s="14" t="s">
        <v>0</v>
      </c>
      <c r="X65" s="36" t="s">
        <v>0</v>
      </c>
    </row>
    <row r="66" spans="1:24" ht="20.25">
      <c r="A66" s="182" t="str">
        <f>A3</f>
        <v>Dark-Fired Tobacco - Contract, Irrigated</v>
      </c>
      <c r="B66" s="55"/>
      <c r="C66" s="55"/>
      <c r="D66" s="55"/>
      <c r="E66" s="55"/>
      <c r="F66" s="56"/>
      <c r="G66" s="55"/>
      <c r="H66" s="57"/>
      <c r="K66" s="14"/>
      <c r="S66" s="14" t="s">
        <v>0</v>
      </c>
      <c r="X66" s="36" t="s">
        <v>0</v>
      </c>
    </row>
    <row r="67" spans="1:24" ht="16.5" thickBot="1">
      <c r="A67" s="58"/>
      <c r="B67" s="59" t="s">
        <v>41</v>
      </c>
      <c r="C67" s="59"/>
      <c r="D67" s="60"/>
      <c r="E67" s="60"/>
      <c r="F67" s="61"/>
      <c r="G67" s="60"/>
      <c r="H67" s="62"/>
      <c r="K67" s="14"/>
      <c r="S67" s="14" t="s">
        <v>0</v>
      </c>
      <c r="X67" s="36" t="s">
        <v>0</v>
      </c>
    </row>
    <row r="68" spans="1:24" ht="15">
      <c r="A68" s="63" t="s">
        <v>20</v>
      </c>
      <c r="B68" s="42" t="s">
        <v>24</v>
      </c>
      <c r="C68" s="64" t="s">
        <v>48</v>
      </c>
      <c r="D68" s="65" t="s">
        <v>14</v>
      </c>
      <c r="E68" s="66" t="s">
        <v>15</v>
      </c>
      <c r="F68" s="66" t="s">
        <v>35</v>
      </c>
      <c r="G68" s="65" t="s">
        <v>37</v>
      </c>
      <c r="H68" s="67" t="s">
        <v>16</v>
      </c>
      <c r="K68" s="14"/>
      <c r="S68" s="14" t="s">
        <v>0</v>
      </c>
      <c r="X68" s="36" t="s">
        <v>0</v>
      </c>
    </row>
    <row r="69" spans="1:24" ht="15">
      <c r="A69" s="68"/>
      <c r="B69" s="69"/>
      <c r="C69" s="70" t="s">
        <v>17</v>
      </c>
      <c r="D69" s="71" t="s">
        <v>18</v>
      </c>
      <c r="E69" s="72" t="s">
        <v>18</v>
      </c>
      <c r="F69" s="72" t="s">
        <v>36</v>
      </c>
      <c r="G69" s="71" t="s">
        <v>19</v>
      </c>
      <c r="H69" s="73" t="s">
        <v>19</v>
      </c>
      <c r="K69" s="14"/>
      <c r="S69" s="14" t="s">
        <v>0</v>
      </c>
      <c r="X69" s="36" t="s">
        <v>0</v>
      </c>
    </row>
    <row r="70" spans="1:19" ht="15">
      <c r="A70" s="74" t="s">
        <v>32</v>
      </c>
      <c r="B70" s="43"/>
      <c r="C70" s="43"/>
      <c r="D70" s="65"/>
      <c r="E70" s="65"/>
      <c r="F70" s="66"/>
      <c r="G70" s="66"/>
      <c r="H70" s="207"/>
      <c r="K70" s="14"/>
      <c r="S70" s="14" t="s">
        <v>0</v>
      </c>
    </row>
    <row r="71" spans="1:24" ht="15">
      <c r="A71" s="75"/>
      <c r="B71" s="171" t="s">
        <v>132</v>
      </c>
      <c r="C71" s="76"/>
      <c r="D71" s="84">
        <v>6.6</v>
      </c>
      <c r="E71" s="172">
        <v>6</v>
      </c>
      <c r="F71" s="173">
        <v>51.78</v>
      </c>
      <c r="G71" s="173">
        <v>14.82</v>
      </c>
      <c r="H71" s="174">
        <v>37.74</v>
      </c>
      <c r="K71" s="30"/>
      <c r="S71" s="14"/>
      <c r="X71" s="36" t="s">
        <v>0</v>
      </c>
    </row>
    <row r="72" spans="1:24" ht="15">
      <c r="A72" s="75">
        <v>4</v>
      </c>
      <c r="B72" s="171" t="s">
        <v>171</v>
      </c>
      <c r="C72" s="76">
        <v>1</v>
      </c>
      <c r="D72" s="84">
        <v>0.69</v>
      </c>
      <c r="E72" s="172">
        <v>0.63</v>
      </c>
      <c r="F72" s="173">
        <v>5.63</v>
      </c>
      <c r="G72" s="173">
        <v>6.03</v>
      </c>
      <c r="H72" s="174">
        <v>7.7</v>
      </c>
      <c r="K72" s="30"/>
      <c r="S72" s="14"/>
      <c r="X72" s="36"/>
    </row>
    <row r="73" spans="1:24" ht="15">
      <c r="A73" s="75">
        <v>4</v>
      </c>
      <c r="B73" s="171" t="s">
        <v>172</v>
      </c>
      <c r="C73" s="76">
        <v>1</v>
      </c>
      <c r="D73" s="84">
        <v>0.38</v>
      </c>
      <c r="E73" s="172">
        <v>0.35</v>
      </c>
      <c r="F73" s="173">
        <v>3.12</v>
      </c>
      <c r="G73" s="173">
        <v>2.33</v>
      </c>
      <c r="H73" s="174">
        <v>5.84</v>
      </c>
      <c r="K73" s="30"/>
      <c r="S73" s="14"/>
      <c r="X73" s="36"/>
    </row>
    <row r="74" spans="1:24" ht="15">
      <c r="A74" s="75">
        <v>11</v>
      </c>
      <c r="B74" s="171" t="s">
        <v>133</v>
      </c>
      <c r="C74" s="76">
        <v>1</v>
      </c>
      <c r="D74" s="84">
        <v>0.18</v>
      </c>
      <c r="E74" s="172">
        <v>0.16</v>
      </c>
      <c r="F74" s="173">
        <v>1.43</v>
      </c>
      <c r="G74" s="173">
        <v>1.82</v>
      </c>
      <c r="H74" s="174">
        <v>4.12</v>
      </c>
      <c r="K74" s="30"/>
      <c r="S74" s="14"/>
      <c r="X74" s="36"/>
    </row>
    <row r="75" spans="1:24" ht="15">
      <c r="A75" s="75">
        <v>5</v>
      </c>
      <c r="B75" s="171" t="s">
        <v>175</v>
      </c>
      <c r="C75" s="76">
        <v>1</v>
      </c>
      <c r="D75" s="84">
        <v>0.53</v>
      </c>
      <c r="E75" s="172">
        <v>0.48</v>
      </c>
      <c r="F75" s="173">
        <v>4.32</v>
      </c>
      <c r="G75" s="173">
        <v>3.88</v>
      </c>
      <c r="H75" s="174">
        <v>6.31</v>
      </c>
      <c r="K75" s="30"/>
      <c r="S75" s="14"/>
      <c r="X75" s="36"/>
    </row>
    <row r="76" spans="1:24" ht="15">
      <c r="A76" s="75">
        <v>5</v>
      </c>
      <c r="B76" s="171" t="s">
        <v>174</v>
      </c>
      <c r="C76" s="76">
        <v>1</v>
      </c>
      <c r="D76" s="84">
        <v>0.97</v>
      </c>
      <c r="E76" s="172">
        <v>0.88</v>
      </c>
      <c r="F76" s="173">
        <v>7.85</v>
      </c>
      <c r="G76" s="173">
        <v>10.38</v>
      </c>
      <c r="H76" s="174">
        <v>13.62</v>
      </c>
      <c r="K76" s="30"/>
      <c r="S76" s="14"/>
      <c r="X76" s="36"/>
    </row>
    <row r="77" spans="1:24" ht="15">
      <c r="A77" s="75" t="s">
        <v>134</v>
      </c>
      <c r="B77" s="171" t="s">
        <v>173</v>
      </c>
      <c r="C77" s="76">
        <v>3</v>
      </c>
      <c r="D77" s="84">
        <v>0.59</v>
      </c>
      <c r="E77" s="172">
        <v>0.54</v>
      </c>
      <c r="F77" s="173">
        <v>4.83</v>
      </c>
      <c r="G77" s="173">
        <v>2.94</v>
      </c>
      <c r="H77" s="174">
        <v>6.3</v>
      </c>
      <c r="K77" s="30"/>
      <c r="S77" s="14"/>
      <c r="X77" s="36"/>
    </row>
    <row r="78" spans="1:24" ht="15">
      <c r="A78" s="75" t="s">
        <v>135</v>
      </c>
      <c r="B78" s="171" t="s">
        <v>176</v>
      </c>
      <c r="C78" s="76">
        <v>5</v>
      </c>
      <c r="D78" s="84">
        <v>0.99</v>
      </c>
      <c r="E78" s="172">
        <v>0.9</v>
      </c>
      <c r="F78" s="173">
        <v>5.9</v>
      </c>
      <c r="G78" s="173">
        <v>4.05</v>
      </c>
      <c r="H78" s="174">
        <v>14.15</v>
      </c>
      <c r="K78" s="30"/>
      <c r="S78" s="14"/>
      <c r="X78" s="36"/>
    </row>
    <row r="79" spans="1:24" ht="15">
      <c r="A79" s="75" t="s">
        <v>134</v>
      </c>
      <c r="B79" s="171" t="s">
        <v>136</v>
      </c>
      <c r="C79" s="76">
        <v>1</v>
      </c>
      <c r="D79" s="84">
        <v>0.62</v>
      </c>
      <c r="E79" s="172">
        <v>0.56</v>
      </c>
      <c r="F79" s="173">
        <v>5</v>
      </c>
      <c r="G79" s="173">
        <v>2.66</v>
      </c>
      <c r="H79" s="174">
        <v>6.14</v>
      </c>
      <c r="K79" s="30"/>
      <c r="S79" s="14"/>
      <c r="X79" s="36"/>
    </row>
    <row r="80" spans="1:24" ht="15">
      <c r="A80" s="75">
        <v>11</v>
      </c>
      <c r="B80" s="171" t="s">
        <v>177</v>
      </c>
      <c r="C80" s="76">
        <v>1</v>
      </c>
      <c r="D80" s="84">
        <v>0.22</v>
      </c>
      <c r="E80" s="172">
        <v>0.2</v>
      </c>
      <c r="F80" s="173">
        <v>1.78</v>
      </c>
      <c r="G80" s="173">
        <v>1.57</v>
      </c>
      <c r="H80" s="174">
        <v>3.9</v>
      </c>
      <c r="K80" s="30"/>
      <c r="S80" s="14"/>
      <c r="X80" s="36"/>
    </row>
    <row r="81" spans="1:24" ht="15">
      <c r="A81" s="75"/>
      <c r="B81" s="171"/>
      <c r="C81" s="76"/>
      <c r="D81" s="84"/>
      <c r="E81" s="172"/>
      <c r="F81" s="173"/>
      <c r="G81" s="173"/>
      <c r="H81" s="174"/>
      <c r="K81" s="78"/>
      <c r="S81" s="14"/>
      <c r="X81" s="36" t="s">
        <v>0</v>
      </c>
    </row>
    <row r="82" spans="1:24" ht="15">
      <c r="A82" s="75"/>
      <c r="B82" s="171" t="s">
        <v>137</v>
      </c>
      <c r="C82" s="76">
        <v>2</v>
      </c>
      <c r="D82" s="84">
        <v>7.36</v>
      </c>
      <c r="E82" s="172">
        <v>4.5</v>
      </c>
      <c r="F82" s="173">
        <v>14.72</v>
      </c>
      <c r="G82" s="173">
        <v>8.4</v>
      </c>
      <c r="H82" s="174">
        <v>137.08</v>
      </c>
      <c r="K82" s="78"/>
      <c r="S82" s="14"/>
      <c r="X82" s="36" t="s">
        <v>0</v>
      </c>
    </row>
    <row r="83" spans="1:24" ht="15">
      <c r="A83" s="180">
        <v>0.25</v>
      </c>
      <c r="B83" s="42" t="s">
        <v>21</v>
      </c>
      <c r="C83" s="76"/>
      <c r="D83" s="181">
        <f>A83*SUM(D71:D82)</f>
        <v>4.7825</v>
      </c>
      <c r="E83" s="80"/>
      <c r="F83" s="208"/>
      <c r="G83" s="81"/>
      <c r="H83" s="82"/>
      <c r="J83" s="78"/>
      <c r="K83" s="78"/>
      <c r="L83" s="78"/>
      <c r="M83" s="78"/>
      <c r="S83" s="14"/>
      <c r="X83" s="36"/>
    </row>
    <row r="84" spans="1:24" ht="15">
      <c r="A84" s="79"/>
      <c r="B84" s="42" t="s">
        <v>31</v>
      </c>
      <c r="C84" s="76"/>
      <c r="D84" s="4">
        <f>ROUND(SUM(D70:D83),2)</f>
        <v>23.91</v>
      </c>
      <c r="E84" s="4">
        <f>SUM(E70:E82)</f>
        <v>15.2</v>
      </c>
      <c r="F84" s="151">
        <f>SUM(F70:F82)</f>
        <v>106.36</v>
      </c>
      <c r="G84" s="151">
        <f>SUM(G70:G82)</f>
        <v>58.879999999999995</v>
      </c>
      <c r="H84" s="5">
        <f>SUM(H70:H82)</f>
        <v>242.90000000000003</v>
      </c>
      <c r="J84" s="78"/>
      <c r="K84" s="78"/>
      <c r="L84" s="78"/>
      <c r="M84" s="78"/>
      <c r="N84" s="51"/>
      <c r="S84" s="14"/>
      <c r="X84" s="36"/>
    </row>
    <row r="85" spans="1:24" ht="15">
      <c r="A85" s="83" t="s">
        <v>26</v>
      </c>
      <c r="B85" s="42"/>
      <c r="C85" s="76"/>
      <c r="D85" s="84"/>
      <c r="E85" s="77"/>
      <c r="F85" s="66"/>
      <c r="G85" s="81"/>
      <c r="H85" s="82"/>
      <c r="J85" s="78"/>
      <c r="K85" s="78"/>
      <c r="L85" s="78"/>
      <c r="M85" s="78"/>
      <c r="S85" s="14"/>
      <c r="X85" s="36"/>
    </row>
    <row r="86" spans="1:24" ht="15.75" customHeight="1">
      <c r="A86" s="75"/>
      <c r="B86" s="171"/>
      <c r="C86" s="76"/>
      <c r="D86" s="84"/>
      <c r="E86" s="172"/>
      <c r="F86" s="173"/>
      <c r="G86" s="173"/>
      <c r="H86" s="174"/>
      <c r="I86" s="15"/>
      <c r="J86" s="15"/>
      <c r="K86" s="78"/>
      <c r="R86" s="15"/>
      <c r="X86" s="36" t="s">
        <v>0</v>
      </c>
    </row>
    <row r="87" spans="1:24" ht="15.75" customHeight="1">
      <c r="A87" s="75">
        <v>8</v>
      </c>
      <c r="B87" s="171" t="s">
        <v>180</v>
      </c>
      <c r="C87" s="76">
        <v>5</v>
      </c>
      <c r="D87" s="84">
        <v>1.87</v>
      </c>
      <c r="E87" s="172">
        <v>1.7</v>
      </c>
      <c r="F87" s="173">
        <v>15.15</v>
      </c>
      <c r="G87" s="173">
        <v>6.4</v>
      </c>
      <c r="H87" s="174">
        <v>16.3</v>
      </c>
      <c r="I87" s="15"/>
      <c r="J87" s="15"/>
      <c r="K87" s="78"/>
      <c r="R87" s="15"/>
      <c r="X87" s="36" t="s">
        <v>0</v>
      </c>
    </row>
    <row r="88" spans="1:24" ht="15.75" customHeight="1">
      <c r="A88" s="75"/>
      <c r="B88" s="171" t="s">
        <v>138</v>
      </c>
      <c r="C88" s="76"/>
      <c r="D88" s="84">
        <v>2.2</v>
      </c>
      <c r="E88" s="172">
        <v>2</v>
      </c>
      <c r="F88" s="173">
        <v>29.34</v>
      </c>
      <c r="G88" s="173">
        <v>10.96</v>
      </c>
      <c r="H88" s="174">
        <v>27.94</v>
      </c>
      <c r="I88" s="15"/>
      <c r="J88" s="15"/>
      <c r="K88" s="78"/>
      <c r="R88" s="15"/>
      <c r="X88" s="36"/>
    </row>
    <row r="89" spans="1:24" ht="15.75" customHeight="1">
      <c r="A89" s="75"/>
      <c r="B89" s="171"/>
      <c r="C89" s="76"/>
      <c r="D89" s="84"/>
      <c r="E89" s="172"/>
      <c r="F89" s="173"/>
      <c r="G89" s="173"/>
      <c r="H89" s="174"/>
      <c r="I89" s="15"/>
      <c r="J89" s="15"/>
      <c r="K89" s="78"/>
      <c r="R89" s="15"/>
      <c r="X89" s="36"/>
    </row>
    <row r="90" spans="1:24" ht="15.75" customHeight="1">
      <c r="A90" s="75"/>
      <c r="B90" s="171"/>
      <c r="C90" s="76"/>
      <c r="D90" s="84"/>
      <c r="E90" s="172">
        <v>0</v>
      </c>
      <c r="F90" s="173">
        <v>0</v>
      </c>
      <c r="G90" s="173"/>
      <c r="H90" s="174"/>
      <c r="I90" s="15"/>
      <c r="J90" s="15"/>
      <c r="K90" s="78"/>
      <c r="R90" s="15"/>
      <c r="X90" s="36"/>
    </row>
    <row r="91" spans="1:24" ht="15.75" customHeight="1">
      <c r="A91" s="180">
        <v>0.25</v>
      </c>
      <c r="B91" s="42" t="s">
        <v>21</v>
      </c>
      <c r="C91" s="76"/>
      <c r="D91" s="181">
        <f>A91*SUM(D86:D90)</f>
        <v>1.0175</v>
      </c>
      <c r="E91" s="77"/>
      <c r="F91" s="66"/>
      <c r="G91" s="81"/>
      <c r="H91" s="82"/>
      <c r="I91" s="15"/>
      <c r="J91" s="15"/>
      <c r="K91" s="78"/>
      <c r="R91" s="15"/>
      <c r="X91" s="36"/>
    </row>
    <row r="92" spans="1:24" ht="15">
      <c r="A92" s="85"/>
      <c r="B92" s="42" t="s">
        <v>33</v>
      </c>
      <c r="C92" s="43"/>
      <c r="D92" s="6">
        <f>ROUND(SUM(D86:D91),2)</f>
        <v>5.09</v>
      </c>
      <c r="E92" s="6">
        <f>SUM(E86:E91)</f>
        <v>3.7</v>
      </c>
      <c r="F92" s="209">
        <f>SUM(F86:F91)</f>
        <v>44.49</v>
      </c>
      <c r="G92" s="209">
        <f>SUM(G86:G91)</f>
        <v>17.36</v>
      </c>
      <c r="H92" s="210">
        <f>SUM(H86:H91)</f>
        <v>44.24</v>
      </c>
      <c r="I92" s="15"/>
      <c r="J92" s="15"/>
      <c r="K92" s="78"/>
      <c r="R92" s="15"/>
      <c r="X92" s="36" t="s">
        <v>0</v>
      </c>
    </row>
    <row r="93" spans="1:8" ht="15.75" thickBot="1">
      <c r="A93" s="86"/>
      <c r="B93" s="87"/>
      <c r="C93" s="87"/>
      <c r="D93" s="88"/>
      <c r="E93" s="88"/>
      <c r="F93" s="211"/>
      <c r="G93" s="212"/>
      <c r="H93" s="89"/>
    </row>
    <row r="94" spans="6:17" ht="15">
      <c r="F94" s="213">
        <v>2.35</v>
      </c>
      <c r="G94" s="8" t="s">
        <v>66</v>
      </c>
      <c r="M94" s="14"/>
      <c r="N94" s="78"/>
      <c r="O94" s="78"/>
      <c r="P94" s="78"/>
      <c r="Q94" s="78"/>
    </row>
    <row r="95" spans="1:24" ht="15">
      <c r="A95" s="78"/>
      <c r="D95" s="30"/>
      <c r="E95" s="30"/>
      <c r="F95" s="90"/>
      <c r="G95" s="30"/>
      <c r="H95" s="30"/>
      <c r="M95" s="14"/>
      <c r="X95" s="36" t="s">
        <v>0</v>
      </c>
    </row>
    <row r="96" spans="1:24" ht="15.75" thickBot="1">
      <c r="A96" s="78"/>
      <c r="M96" s="14"/>
      <c r="X96" s="36" t="s">
        <v>0</v>
      </c>
    </row>
    <row r="97" spans="1:8" ht="16.5" thickBot="1">
      <c r="A97" s="132"/>
      <c r="B97" s="133" t="s">
        <v>40</v>
      </c>
      <c r="C97" s="133"/>
      <c r="D97" s="133"/>
      <c r="E97" s="133"/>
      <c r="F97" s="134"/>
      <c r="G97" s="135"/>
      <c r="H97" s="136"/>
    </row>
    <row r="98" spans="1:12" ht="15.75">
      <c r="A98" s="224" t="s">
        <v>8</v>
      </c>
      <c r="B98" s="195"/>
      <c r="C98" s="137"/>
      <c r="D98" s="7"/>
      <c r="E98" s="138"/>
      <c r="F98" s="205" t="s">
        <v>123</v>
      </c>
      <c r="G98" s="7"/>
      <c r="H98" s="204"/>
      <c r="L98" s="14"/>
    </row>
    <row r="99" spans="1:19" ht="15.75" thickBot="1">
      <c r="A99" s="224" t="s">
        <v>22</v>
      </c>
      <c r="B99" s="196" t="s">
        <v>38</v>
      </c>
      <c r="C99" s="7"/>
      <c r="D99" s="7"/>
      <c r="E99" s="7"/>
      <c r="F99" s="139"/>
      <c r="G99" s="7"/>
      <c r="H99" s="140"/>
      <c r="K99" s="14"/>
      <c r="S99" s="14" t="s">
        <v>0</v>
      </c>
    </row>
    <row r="100" spans="1:19" ht="15">
      <c r="A100" s="141" t="s">
        <v>124</v>
      </c>
      <c r="B100" s="197" t="s">
        <v>39</v>
      </c>
      <c r="C100" s="142"/>
      <c r="D100" s="143">
        <f>ROUND(F100*(1-(0.05)),2)</f>
        <v>1.88</v>
      </c>
      <c r="E100" s="144">
        <f>ROUND(F100*(1-(0.02)),2)</f>
        <v>1.94</v>
      </c>
      <c r="F100" s="144">
        <f>F10</f>
        <v>1.98</v>
      </c>
      <c r="G100" s="144">
        <f>ROUND(F100*(1+(0.02)),2)</f>
        <v>2.02</v>
      </c>
      <c r="H100" s="145">
        <f>ROUND(F100*(1+(0.05)),2)</f>
        <v>2.08</v>
      </c>
      <c r="K100" s="14"/>
      <c r="S100" s="14" t="s">
        <v>0</v>
      </c>
    </row>
    <row r="101" spans="1:24" ht="15">
      <c r="A101" s="146"/>
      <c r="B101" s="198"/>
      <c r="C101" s="147"/>
      <c r="D101" s="216"/>
      <c r="E101" s="217"/>
      <c r="F101" s="217"/>
      <c r="G101" s="217"/>
      <c r="H101" s="218"/>
      <c r="K101" s="14"/>
      <c r="S101" s="14" t="s">
        <v>0</v>
      </c>
      <c r="X101" s="36" t="s">
        <v>0</v>
      </c>
    </row>
    <row r="102" spans="1:19" ht="15">
      <c r="A102" s="148">
        <f>ROUND(A106*(1-(2*$A$113)),0)</f>
        <v>1440</v>
      </c>
      <c r="B102" s="199">
        <f>($G$47)</f>
        <v>3691.5</v>
      </c>
      <c r="C102" s="149"/>
      <c r="D102" s="219">
        <f>($A102*D$100)-$B102</f>
        <v>-984.3000000000002</v>
      </c>
      <c r="E102" s="219">
        <f>($A102*E$100)-$B102</f>
        <v>-897.9000000000001</v>
      </c>
      <c r="F102" s="219">
        <f>($A102*F$100)-$B102</f>
        <v>-840.3000000000002</v>
      </c>
      <c r="G102" s="219">
        <f>($A102*G$100)-$B102</f>
        <v>-782.6999999999998</v>
      </c>
      <c r="H102" s="220">
        <f>($A102*H$100)-$B102</f>
        <v>-696.2999999999997</v>
      </c>
      <c r="S102" s="14" t="s">
        <v>0</v>
      </c>
    </row>
    <row r="103" spans="1:24" ht="15">
      <c r="A103" s="148" t="s">
        <v>0</v>
      </c>
      <c r="B103" s="200"/>
      <c r="C103" s="150"/>
      <c r="D103" s="221"/>
      <c r="E103" s="221"/>
      <c r="F103" s="221"/>
      <c r="G103" s="221"/>
      <c r="H103" s="220"/>
      <c r="K103" s="14"/>
      <c r="L103" s="15"/>
      <c r="S103" s="14" t="s">
        <v>0</v>
      </c>
      <c r="X103" s="36" t="s">
        <v>0</v>
      </c>
    </row>
    <row r="104" spans="1:24" ht="15">
      <c r="A104" s="148">
        <f>ROUND(A106*(1-($A$113)),0)</f>
        <v>1620</v>
      </c>
      <c r="B104" s="199">
        <f>($G$47)</f>
        <v>3691.5</v>
      </c>
      <c r="C104" s="149"/>
      <c r="D104" s="219">
        <f>($A104*D$100)-$B104</f>
        <v>-645.9000000000001</v>
      </c>
      <c r="E104" s="219">
        <f>($A104*E$100)-$B104</f>
        <v>-548.7000000000003</v>
      </c>
      <c r="F104" s="219">
        <f>($A104*F$100)-$B104</f>
        <v>-483.9000000000001</v>
      </c>
      <c r="G104" s="219">
        <f>($A104*G$100)-$B104</f>
        <v>-419.0999999999999</v>
      </c>
      <c r="H104" s="220">
        <f>($A104*H$100)-$B104</f>
        <v>-321.9000000000001</v>
      </c>
      <c r="K104" s="14"/>
      <c r="L104" s="15"/>
      <c r="S104" s="14" t="s">
        <v>0</v>
      </c>
      <c r="X104" s="36" t="s">
        <v>0</v>
      </c>
    </row>
    <row r="105" spans="1:24" ht="15">
      <c r="A105" s="148" t="s">
        <v>0</v>
      </c>
      <c r="B105" s="200"/>
      <c r="C105" s="150"/>
      <c r="D105" s="221"/>
      <c r="E105" s="221"/>
      <c r="F105" s="221"/>
      <c r="G105" s="221"/>
      <c r="H105" s="220"/>
      <c r="K105" s="14"/>
      <c r="L105" s="15"/>
      <c r="S105" s="14" t="s">
        <v>0</v>
      </c>
      <c r="X105" s="36" t="s">
        <v>0</v>
      </c>
    </row>
    <row r="106" spans="1:24" ht="15">
      <c r="A106" s="148">
        <f>E10</f>
        <v>1800</v>
      </c>
      <c r="B106" s="199">
        <f>($G$47)</f>
        <v>3691.5</v>
      </c>
      <c r="C106" s="149"/>
      <c r="D106" s="219">
        <f>($A106*D$100)-$B106</f>
        <v>-307.5</v>
      </c>
      <c r="E106" s="219">
        <f>($A106*E$100)-$B106</f>
        <v>-199.5</v>
      </c>
      <c r="F106" s="219">
        <f>($A106*F$100)-$B106</f>
        <v>-127.5</v>
      </c>
      <c r="G106" s="219">
        <f>($A106*G$100)-$B106</f>
        <v>-55.5</v>
      </c>
      <c r="H106" s="220">
        <f>($A106*H$100)-$B106</f>
        <v>52.5</v>
      </c>
      <c r="K106" s="14"/>
      <c r="L106" s="15"/>
      <c r="S106" s="14" t="s">
        <v>0</v>
      </c>
      <c r="X106" s="36" t="s">
        <v>0</v>
      </c>
    </row>
    <row r="107" spans="1:19" ht="15">
      <c r="A107" s="148" t="s">
        <v>0</v>
      </c>
      <c r="B107" s="200"/>
      <c r="C107" s="150"/>
      <c r="D107" s="221"/>
      <c r="E107" s="221"/>
      <c r="F107" s="221"/>
      <c r="G107" s="221"/>
      <c r="H107" s="220"/>
      <c r="K107" s="14"/>
      <c r="L107" s="15"/>
      <c r="S107" s="14" t="s">
        <v>0</v>
      </c>
    </row>
    <row r="108" spans="1:24" ht="15">
      <c r="A108" s="148">
        <f>ROUND(A106*(1+(1*$A$113)),0)</f>
        <v>1980</v>
      </c>
      <c r="B108" s="199">
        <f>($G$47)</f>
        <v>3691.5</v>
      </c>
      <c r="C108" s="149"/>
      <c r="D108" s="219">
        <f>($A108*D$100)-$B108</f>
        <v>30.899999999999636</v>
      </c>
      <c r="E108" s="219">
        <f>($A108*E$100)-$B108</f>
        <v>149.69999999999982</v>
      </c>
      <c r="F108" s="219">
        <f>($A108*F$100)-$B108</f>
        <v>228.9000000000001</v>
      </c>
      <c r="G108" s="219">
        <f>($A108*G$100)-$B108</f>
        <v>308.0999999999999</v>
      </c>
      <c r="H108" s="220">
        <f>($A108*H$100)-$B108</f>
        <v>426.90000000000055</v>
      </c>
      <c r="K108" s="14"/>
      <c r="L108" s="15"/>
      <c r="S108" s="14" t="s">
        <v>0</v>
      </c>
      <c r="X108" s="36" t="s">
        <v>0</v>
      </c>
    </row>
    <row r="109" spans="1:19" ht="15">
      <c r="A109" s="152"/>
      <c r="B109" s="200"/>
      <c r="C109" s="150"/>
      <c r="D109" s="221"/>
      <c r="E109" s="221"/>
      <c r="F109" s="221"/>
      <c r="G109" s="221"/>
      <c r="H109" s="220"/>
      <c r="K109" s="14"/>
      <c r="L109" s="15"/>
      <c r="S109" s="14" t="s">
        <v>0</v>
      </c>
    </row>
    <row r="110" spans="1:24" ht="15">
      <c r="A110" s="148">
        <f>ROUND(A106*(1+(2*$A$113)),0)</f>
        <v>2160</v>
      </c>
      <c r="B110" s="199">
        <f>($G$47)</f>
        <v>3691.5</v>
      </c>
      <c r="C110" s="149"/>
      <c r="D110" s="219">
        <f>($A110*D$100)-$B110</f>
        <v>369.2999999999997</v>
      </c>
      <c r="E110" s="219">
        <f>($A110*E$100)-$B110</f>
        <v>498.89999999999964</v>
      </c>
      <c r="F110" s="219">
        <f>($A110*F$100)-$B110</f>
        <v>585.3000000000002</v>
      </c>
      <c r="G110" s="219">
        <f>($A110*G$100)-$B110</f>
        <v>671.6999999999998</v>
      </c>
      <c r="H110" s="220">
        <f>($A110*H$100)-$B110</f>
        <v>801.3000000000002</v>
      </c>
      <c r="K110" s="14"/>
      <c r="S110" s="14" t="s">
        <v>0</v>
      </c>
      <c r="X110" s="36" t="s">
        <v>0</v>
      </c>
    </row>
    <row r="111" spans="1:19" ht="15.75" thickBot="1">
      <c r="A111" s="153"/>
      <c r="B111" s="201"/>
      <c r="C111" s="154"/>
      <c r="D111" s="154"/>
      <c r="E111" s="154"/>
      <c r="F111" s="155"/>
      <c r="G111" s="154"/>
      <c r="H111" s="156"/>
      <c r="K111" s="14"/>
      <c r="L111" s="15"/>
      <c r="S111" s="14" t="s">
        <v>0</v>
      </c>
    </row>
    <row r="112" spans="1:24" ht="15">
      <c r="A112" s="78"/>
      <c r="K112" s="14"/>
      <c r="S112" s="14" t="s">
        <v>0</v>
      </c>
      <c r="X112" s="36" t="s">
        <v>0</v>
      </c>
    </row>
    <row r="113" spans="1:19" ht="15.75">
      <c r="A113" s="91">
        <v>0.1</v>
      </c>
      <c r="B113" s="8" t="s">
        <v>50</v>
      </c>
      <c r="K113" s="14"/>
      <c r="L113" s="15"/>
      <c r="S113" s="14" t="s">
        <v>0</v>
      </c>
    </row>
    <row r="114" spans="1:24" ht="15.75" thickBot="1">
      <c r="A114" s="78"/>
      <c r="K114" s="14"/>
      <c r="S114" s="14" t="s">
        <v>0</v>
      </c>
      <c r="X114" s="36" t="s">
        <v>0</v>
      </c>
    </row>
    <row r="115" spans="1:19" ht="16.5" thickBot="1">
      <c r="A115" s="92"/>
      <c r="B115" s="93" t="s">
        <v>43</v>
      </c>
      <c r="C115" s="93"/>
      <c r="D115" s="94"/>
      <c r="E115" s="94"/>
      <c r="F115" s="95"/>
      <c r="G115" s="94"/>
      <c r="H115" s="96"/>
      <c r="K115" s="14"/>
      <c r="L115" s="15"/>
      <c r="S115" s="14" t="s">
        <v>0</v>
      </c>
    </row>
    <row r="116" spans="1:24" ht="15">
      <c r="A116" s="92"/>
      <c r="B116" s="94"/>
      <c r="C116" s="94"/>
      <c r="D116" s="94"/>
      <c r="E116" s="97"/>
      <c r="F116" s="98" t="s">
        <v>1</v>
      </c>
      <c r="G116" s="97" t="s">
        <v>2</v>
      </c>
      <c r="H116" s="99" t="s">
        <v>155</v>
      </c>
      <c r="K116" s="14"/>
      <c r="S116" s="14" t="s">
        <v>0</v>
      </c>
      <c r="X116" s="36" t="s">
        <v>0</v>
      </c>
    </row>
    <row r="117" spans="1:24" ht="15">
      <c r="A117" s="100" t="s">
        <v>34</v>
      </c>
      <c r="B117" s="24" t="s">
        <v>47</v>
      </c>
      <c r="C117" s="24"/>
      <c r="D117" s="25" t="s">
        <v>4</v>
      </c>
      <c r="E117" s="26" t="s">
        <v>5</v>
      </c>
      <c r="F117" s="27" t="s">
        <v>6</v>
      </c>
      <c r="G117" s="26" t="s">
        <v>7</v>
      </c>
      <c r="H117" s="101" t="s">
        <v>156</v>
      </c>
      <c r="K117" s="14"/>
      <c r="S117" s="14"/>
      <c r="X117" s="36"/>
    </row>
    <row r="118" spans="1:24" ht="15">
      <c r="A118" s="183"/>
      <c r="B118" s="157" t="s">
        <v>51</v>
      </c>
      <c r="C118" s="158"/>
      <c r="D118" s="159" t="s">
        <v>51</v>
      </c>
      <c r="E118" s="160"/>
      <c r="F118" s="1" t="s">
        <v>51</v>
      </c>
      <c r="G118" s="225" t="str">
        <f>IF(E118=0," ",ROUND((E118*F118),2))</f>
        <v> </v>
      </c>
      <c r="H118" s="161"/>
      <c r="K118" s="103"/>
      <c r="L118" s="104"/>
      <c r="M118" s="104"/>
      <c r="N118" s="104"/>
      <c r="S118" s="14"/>
      <c r="X118" s="36"/>
    </row>
    <row r="119" spans="1:24" ht="19.5">
      <c r="A119" s="183" t="s">
        <v>52</v>
      </c>
      <c r="B119" s="158" t="s">
        <v>152</v>
      </c>
      <c r="C119" s="158"/>
      <c r="D119" s="159" t="s">
        <v>153</v>
      </c>
      <c r="E119" s="160">
        <v>2</v>
      </c>
      <c r="F119" s="1">
        <v>2.68</v>
      </c>
      <c r="G119" s="225">
        <f>IF(E119=0," ",ROUND((E119*F119),2))</f>
        <v>5.36</v>
      </c>
      <c r="H119" s="161" t="s">
        <v>154</v>
      </c>
      <c r="K119" s="103"/>
      <c r="L119" s="104"/>
      <c r="M119" s="104"/>
      <c r="N119" s="104"/>
      <c r="S119" s="14"/>
      <c r="X119" s="36"/>
    </row>
    <row r="120" spans="1:24" ht="15">
      <c r="A120" s="183" t="s">
        <v>55</v>
      </c>
      <c r="B120" s="158" t="s">
        <v>157</v>
      </c>
      <c r="C120" s="158"/>
      <c r="D120" s="159" t="s">
        <v>153</v>
      </c>
      <c r="E120" s="160">
        <v>1</v>
      </c>
      <c r="F120" s="1">
        <v>88.03</v>
      </c>
      <c r="G120" s="225">
        <f>IF(E120=0," ",ROUND((E120*F120),2))</f>
        <v>88.03</v>
      </c>
      <c r="H120" s="161" t="s">
        <v>154</v>
      </c>
      <c r="K120" s="103"/>
      <c r="L120" s="104"/>
      <c r="M120" s="104"/>
      <c r="N120" s="104"/>
      <c r="S120" s="14"/>
      <c r="X120" s="36"/>
    </row>
    <row r="121" spans="1:24" ht="15">
      <c r="A121" s="183" t="s">
        <v>54</v>
      </c>
      <c r="B121" s="158" t="s">
        <v>158</v>
      </c>
      <c r="C121" s="158"/>
      <c r="D121" s="159" t="s">
        <v>153</v>
      </c>
      <c r="E121" s="160">
        <v>4.5</v>
      </c>
      <c r="F121" s="1">
        <v>3.77</v>
      </c>
      <c r="G121" s="225">
        <f>IF(E121=0," ",ROUND((E121*F121),2))</f>
        <v>16.97</v>
      </c>
      <c r="H121" s="161" t="s">
        <v>154</v>
      </c>
      <c r="K121" s="103"/>
      <c r="L121" s="104"/>
      <c r="M121" s="104"/>
      <c r="N121" s="104"/>
      <c r="S121" s="14"/>
      <c r="X121" s="36"/>
    </row>
    <row r="122" spans="1:24" ht="15">
      <c r="A122" s="184"/>
      <c r="B122" s="158"/>
      <c r="C122" s="158"/>
      <c r="D122" s="159"/>
      <c r="E122" s="160"/>
      <c r="F122" s="1"/>
      <c r="G122" s="225" t="str">
        <f>IF(E122=0," ",ROUND((E122*F122),2))</f>
        <v> </v>
      </c>
      <c r="H122" s="161"/>
      <c r="K122" s="103"/>
      <c r="L122" s="104"/>
      <c r="M122" s="104"/>
      <c r="N122" s="104"/>
      <c r="S122" s="14"/>
      <c r="X122" s="36"/>
    </row>
    <row r="123" spans="1:24" ht="15">
      <c r="A123" s="183" t="s">
        <v>54</v>
      </c>
      <c r="B123" s="158" t="s">
        <v>159</v>
      </c>
      <c r="C123" s="158"/>
      <c r="D123" s="159" t="s">
        <v>160</v>
      </c>
      <c r="E123" s="160">
        <v>3</v>
      </c>
      <c r="F123" s="1">
        <v>7.9</v>
      </c>
      <c r="G123" s="225">
        <f aca="true" t="shared" si="5" ref="G123:G130">IF(E123=0," ",ROUND((E123*F123),2))</f>
        <v>23.7</v>
      </c>
      <c r="H123" s="161" t="s">
        <v>161</v>
      </c>
      <c r="K123" s="103"/>
      <c r="L123" s="104"/>
      <c r="M123" s="104"/>
      <c r="N123" s="104"/>
      <c r="S123" s="14" t="s">
        <v>0</v>
      </c>
      <c r="X123" s="36" t="s">
        <v>0</v>
      </c>
    </row>
    <row r="124" spans="1:24" ht="15">
      <c r="A124" s="183" t="s">
        <v>54</v>
      </c>
      <c r="B124" s="158" t="s">
        <v>162</v>
      </c>
      <c r="C124" s="158"/>
      <c r="D124" s="159" t="s">
        <v>163</v>
      </c>
      <c r="E124" s="160">
        <v>1</v>
      </c>
      <c r="F124" s="1">
        <v>9.36</v>
      </c>
      <c r="G124" s="225">
        <f t="shared" si="5"/>
        <v>9.36</v>
      </c>
      <c r="H124" s="161"/>
      <c r="K124" s="103"/>
      <c r="L124" s="104"/>
      <c r="M124" s="104"/>
      <c r="N124" s="104"/>
      <c r="S124" s="14" t="s">
        <v>0</v>
      </c>
      <c r="X124" s="36" t="s">
        <v>0</v>
      </c>
    </row>
    <row r="125" spans="1:24" ht="15">
      <c r="A125" s="183" t="s">
        <v>54</v>
      </c>
      <c r="B125" s="158" t="s">
        <v>164</v>
      </c>
      <c r="C125" s="158"/>
      <c r="D125" s="159" t="s">
        <v>163</v>
      </c>
      <c r="E125" s="160">
        <v>1.5</v>
      </c>
      <c r="F125" s="1">
        <v>12.5</v>
      </c>
      <c r="G125" s="225">
        <f t="shared" si="5"/>
        <v>18.75</v>
      </c>
      <c r="H125" s="161" t="s">
        <v>165</v>
      </c>
      <c r="K125" s="103"/>
      <c r="L125" s="104"/>
      <c r="M125" s="104"/>
      <c r="N125" s="104"/>
      <c r="S125" s="14"/>
      <c r="X125" s="36"/>
    </row>
    <row r="126" spans="1:24" ht="15">
      <c r="A126" s="183"/>
      <c r="B126" s="158"/>
      <c r="C126" s="158"/>
      <c r="D126" s="159"/>
      <c r="E126" s="160"/>
      <c r="F126" s="1"/>
      <c r="G126" s="225" t="str">
        <f t="shared" si="5"/>
        <v> </v>
      </c>
      <c r="H126" s="161"/>
      <c r="K126" s="103"/>
      <c r="L126" s="104"/>
      <c r="M126" s="104"/>
      <c r="N126" s="104"/>
      <c r="S126" s="14"/>
      <c r="X126" s="36"/>
    </row>
    <row r="127" spans="1:24" ht="15">
      <c r="A127" s="183" t="s">
        <v>75</v>
      </c>
      <c r="B127" s="158" t="s">
        <v>167</v>
      </c>
      <c r="C127" s="158"/>
      <c r="D127" s="159" t="s">
        <v>168</v>
      </c>
      <c r="E127" s="160">
        <v>3.6</v>
      </c>
      <c r="F127" s="1">
        <v>15.06</v>
      </c>
      <c r="G127" s="225">
        <f t="shared" si="5"/>
        <v>54.22</v>
      </c>
      <c r="H127" s="161" t="s">
        <v>178</v>
      </c>
      <c r="K127" s="103"/>
      <c r="L127" s="104"/>
      <c r="M127" s="104"/>
      <c r="N127" s="104"/>
      <c r="S127" s="14"/>
      <c r="X127" s="36"/>
    </row>
    <row r="128" spans="1:24" ht="15">
      <c r="A128" s="183"/>
      <c r="B128" s="158"/>
      <c r="C128" s="158"/>
      <c r="D128" s="159"/>
      <c r="E128" s="160"/>
      <c r="F128" s="1"/>
      <c r="G128" s="225" t="str">
        <f t="shared" si="5"/>
        <v> </v>
      </c>
      <c r="H128" s="161"/>
      <c r="K128" s="103"/>
      <c r="L128" s="104"/>
      <c r="M128" s="104"/>
      <c r="N128" s="104"/>
      <c r="S128" s="14" t="s">
        <v>0</v>
      </c>
      <c r="X128" s="36" t="s">
        <v>0</v>
      </c>
    </row>
    <row r="129" spans="1:24" ht="15">
      <c r="A129" s="184" t="s">
        <v>51</v>
      </c>
      <c r="B129" s="157" t="s">
        <v>51</v>
      </c>
      <c r="C129" s="158"/>
      <c r="D129" s="159" t="s">
        <v>51</v>
      </c>
      <c r="E129" s="160"/>
      <c r="F129" s="1" t="s">
        <v>51</v>
      </c>
      <c r="G129" s="225" t="str">
        <f t="shared" si="5"/>
        <v> </v>
      </c>
      <c r="H129" s="161"/>
      <c r="K129" s="103"/>
      <c r="L129" s="104"/>
      <c r="M129" s="104"/>
      <c r="N129" s="104"/>
      <c r="S129" s="14" t="s">
        <v>0</v>
      </c>
      <c r="X129" s="36" t="s">
        <v>0</v>
      </c>
    </row>
    <row r="130" spans="1:24" ht="15">
      <c r="A130" s="185" t="s">
        <v>51</v>
      </c>
      <c r="B130" s="162"/>
      <c r="C130" s="163"/>
      <c r="D130" s="163"/>
      <c r="E130" s="164"/>
      <c r="F130" s="165"/>
      <c r="G130" s="226" t="str">
        <f t="shared" si="5"/>
        <v> </v>
      </c>
      <c r="H130" s="166"/>
      <c r="K130" s="103"/>
      <c r="L130" s="104"/>
      <c r="M130" s="104"/>
      <c r="N130" s="104"/>
      <c r="S130" s="14" t="s">
        <v>0</v>
      </c>
      <c r="X130" s="36" t="s">
        <v>0</v>
      </c>
    </row>
    <row r="131" spans="1:24" ht="15">
      <c r="A131" s="102" t="s">
        <v>53</v>
      </c>
      <c r="B131" s="231" t="s">
        <v>166</v>
      </c>
      <c r="C131" s="42"/>
      <c r="D131" s="43"/>
      <c r="E131" s="105"/>
      <c r="F131" s="106"/>
      <c r="G131" s="107"/>
      <c r="H131" s="108"/>
      <c r="K131" s="103"/>
      <c r="L131" s="104"/>
      <c r="M131" s="104"/>
      <c r="N131" s="104"/>
      <c r="S131" s="14" t="s">
        <v>0</v>
      </c>
      <c r="X131" s="36" t="s">
        <v>0</v>
      </c>
    </row>
    <row r="132" spans="1:24" ht="15.75" thickBot="1">
      <c r="A132" s="109"/>
      <c r="B132" s="215"/>
      <c r="C132" s="87"/>
      <c r="D132" s="87"/>
      <c r="E132" s="87"/>
      <c r="F132" s="61"/>
      <c r="G132" s="87"/>
      <c r="H132" s="110"/>
      <c r="K132" s="14"/>
      <c r="L132" s="15"/>
      <c r="M132" s="15"/>
      <c r="N132" s="15"/>
      <c r="S132" s="14" t="s">
        <v>0</v>
      </c>
      <c r="X132" s="36" t="s">
        <v>0</v>
      </c>
    </row>
    <row r="133" spans="1:24" ht="15">
      <c r="A133" s="111"/>
      <c r="E133" s="78"/>
      <c r="F133" s="112"/>
      <c r="G133" s="78"/>
      <c r="H133" s="78"/>
      <c r="K133" s="14"/>
      <c r="L133" s="15"/>
      <c r="S133" s="14" t="s">
        <v>0</v>
      </c>
      <c r="X133" s="36" t="s">
        <v>0</v>
      </c>
    </row>
    <row r="134" spans="2:24" ht="15" customHeight="1">
      <c r="B134" s="124"/>
      <c r="C134" s="124"/>
      <c r="D134" s="124"/>
      <c r="E134" s="167" t="s">
        <v>46</v>
      </c>
      <c r="F134" s="168"/>
      <c r="G134" s="169"/>
      <c r="H134" s="169"/>
      <c r="K134" s="14"/>
      <c r="L134" s="15"/>
      <c r="S134" s="14"/>
      <c r="X134" s="36"/>
    </row>
    <row r="135" spans="2:24" ht="15" customHeight="1">
      <c r="B135" s="124"/>
      <c r="C135" s="124"/>
      <c r="D135" s="124"/>
      <c r="E135" s="167" t="s">
        <v>45</v>
      </c>
      <c r="F135" s="170"/>
      <c r="G135" s="124"/>
      <c r="H135" s="169"/>
      <c r="K135" s="14"/>
      <c r="L135" s="15"/>
      <c r="S135" s="14"/>
      <c r="X135" s="36"/>
    </row>
    <row r="136" spans="5:24" ht="15" customHeight="1">
      <c r="E136" s="113"/>
      <c r="H136" s="78"/>
      <c r="K136" s="14"/>
      <c r="L136" s="15"/>
      <c r="S136" s="14"/>
      <c r="X136" s="36"/>
    </row>
    <row r="137" spans="5:24" ht="15" customHeight="1">
      <c r="E137" s="113"/>
      <c r="H137" s="78"/>
      <c r="K137" s="14"/>
      <c r="L137" s="15"/>
      <c r="S137" s="14"/>
      <c r="X137" s="36"/>
    </row>
    <row r="138" spans="5:24" ht="15" customHeight="1">
      <c r="E138" s="113"/>
      <c r="H138" s="78"/>
      <c r="K138" s="14"/>
      <c r="L138" s="15"/>
      <c r="S138" s="14"/>
      <c r="X138" s="36"/>
    </row>
    <row r="139" spans="5:24" ht="15" customHeight="1">
      <c r="E139" s="113"/>
      <c r="H139" s="78"/>
      <c r="K139" s="14"/>
      <c r="L139" s="15"/>
      <c r="S139" s="14"/>
      <c r="X139" s="36"/>
    </row>
    <row r="140" spans="5:24" ht="15" customHeight="1">
      <c r="E140" s="113"/>
      <c r="H140" s="78"/>
      <c r="K140" s="14"/>
      <c r="L140" s="15"/>
      <c r="S140" s="14"/>
      <c r="X140" s="36"/>
    </row>
    <row r="141" spans="5:24" ht="15" customHeight="1">
      <c r="E141" s="113"/>
      <c r="H141" s="78"/>
      <c r="K141" s="14"/>
      <c r="L141" s="15"/>
      <c r="S141" s="14"/>
      <c r="X141" s="36"/>
    </row>
    <row r="142" spans="5:24" ht="15" customHeight="1">
      <c r="E142" s="113"/>
      <c r="H142" s="78"/>
      <c r="K142" s="14"/>
      <c r="L142" s="15"/>
      <c r="S142" s="14"/>
      <c r="X142" s="36"/>
    </row>
    <row r="143" spans="5:24" ht="15" customHeight="1">
      <c r="E143" s="113"/>
      <c r="H143" s="78"/>
      <c r="K143" s="14"/>
      <c r="L143" s="15"/>
      <c r="S143" s="14"/>
      <c r="X143" s="36"/>
    </row>
    <row r="144" spans="5:24" ht="15" customHeight="1">
      <c r="E144" s="113"/>
      <c r="H144" s="78"/>
      <c r="K144" s="14"/>
      <c r="L144" s="15"/>
      <c r="S144" s="14"/>
      <c r="X144" s="36"/>
    </row>
    <row r="145" spans="5:24" ht="15" customHeight="1">
      <c r="E145" s="113"/>
      <c r="H145" s="78"/>
      <c r="K145" s="14"/>
      <c r="L145" s="15"/>
      <c r="S145" s="14"/>
      <c r="X145" s="36"/>
    </row>
    <row r="146" spans="5:24" ht="15" customHeight="1">
      <c r="E146" s="113"/>
      <c r="H146" s="78"/>
      <c r="K146" s="14"/>
      <c r="L146" s="15"/>
      <c r="S146" s="14"/>
      <c r="X146" s="36"/>
    </row>
    <row r="147" spans="1:24" ht="15" customHeight="1">
      <c r="A147" s="78"/>
      <c r="E147" s="78"/>
      <c r="F147" s="112"/>
      <c r="G147" s="78"/>
      <c r="K147" s="14"/>
      <c r="L147" s="15"/>
      <c r="S147" s="14" t="s">
        <v>0</v>
      </c>
      <c r="X147" s="36" t="s">
        <v>0</v>
      </c>
    </row>
    <row r="148" spans="1:24" ht="15" customHeight="1">
      <c r="A148" s="78"/>
      <c r="B148" s="78"/>
      <c r="C148" s="78"/>
      <c r="D148" s="78"/>
      <c r="E148" s="78"/>
      <c r="F148" s="114"/>
      <c r="G148" s="78"/>
      <c r="H148" s="78"/>
      <c r="K148" s="14"/>
      <c r="S148" s="14" t="s">
        <v>0</v>
      </c>
      <c r="X148" s="36" t="s">
        <v>0</v>
      </c>
    </row>
    <row r="149" ht="15"/>
    <row r="150" ht="15"/>
    <row r="151" ht="15">
      <c r="F151" s="115"/>
    </row>
    <row r="152" spans="2:6" ht="15">
      <c r="B152" s="15"/>
      <c r="C152" s="15"/>
      <c r="D152" s="15"/>
      <c r="E152" s="15"/>
      <c r="F152" s="115"/>
    </row>
    <row r="153" spans="2:6" ht="15">
      <c r="B153" s="15"/>
      <c r="C153" s="15"/>
      <c r="D153" s="15"/>
      <c r="E153" s="15"/>
      <c r="F153" s="115"/>
    </row>
    <row r="154" spans="2:6" ht="15">
      <c r="B154" s="15"/>
      <c r="C154" s="15"/>
      <c r="D154" s="15"/>
      <c r="E154" s="15"/>
      <c r="F154" s="115"/>
    </row>
    <row r="155" spans="1:6" ht="15">
      <c r="A155" s="8" t="s">
        <v>81</v>
      </c>
      <c r="B155" s="15"/>
      <c r="C155" s="15"/>
      <c r="D155" s="15"/>
      <c r="E155" s="15"/>
      <c r="F155" s="115"/>
    </row>
    <row r="156" spans="2:14" ht="15">
      <c r="B156" s="15"/>
      <c r="C156" s="15"/>
      <c r="D156" s="15"/>
      <c r="E156" s="15"/>
      <c r="L156" s="15"/>
      <c r="M156" s="78"/>
      <c r="N156" s="78"/>
    </row>
    <row r="157" spans="2:3" ht="15">
      <c r="B157" s="15"/>
      <c r="C157" s="15"/>
    </row>
    <row r="158" spans="2:15" ht="15">
      <c r="B158" s="15"/>
      <c r="C158" s="15"/>
      <c r="K158" s="15"/>
      <c r="L158" s="78"/>
      <c r="M158" s="78"/>
      <c r="N158" s="78"/>
      <c r="O158" s="30"/>
    </row>
    <row r="159" spans="2:14" ht="15">
      <c r="B159" s="15"/>
      <c r="C159" s="15"/>
      <c r="K159" s="15"/>
      <c r="L159" s="78"/>
      <c r="M159" s="78"/>
      <c r="N159" s="78"/>
    </row>
    <row r="160" spans="2:14" ht="15">
      <c r="B160" s="15"/>
      <c r="C160" s="15"/>
      <c r="K160" s="15"/>
      <c r="L160" s="78"/>
      <c r="M160" s="78"/>
      <c r="N160" s="78"/>
    </row>
    <row r="161" spans="2:14" ht="15">
      <c r="B161" s="15"/>
      <c r="C161" s="15"/>
      <c r="K161" s="15"/>
      <c r="L161" s="78"/>
      <c r="M161" s="78"/>
      <c r="N161" s="78"/>
    </row>
    <row r="162" spans="2:14" ht="15">
      <c r="B162" s="15"/>
      <c r="C162" s="15"/>
      <c r="K162" s="15"/>
      <c r="L162" s="78"/>
      <c r="M162" s="78"/>
      <c r="N162" s="78"/>
    </row>
    <row r="163" spans="1:14" ht="15">
      <c r="A163" s="8" t="s">
        <v>52</v>
      </c>
      <c r="B163" s="8" t="s">
        <v>68</v>
      </c>
      <c r="K163" s="15"/>
      <c r="L163" s="78"/>
      <c r="M163" s="78"/>
      <c r="N163" s="78"/>
    </row>
    <row r="164" spans="1:14" ht="15">
      <c r="A164" s="8" t="s">
        <v>54</v>
      </c>
      <c r="B164" s="8" t="s">
        <v>69</v>
      </c>
      <c r="F164" s="115"/>
      <c r="K164" s="15"/>
      <c r="L164" s="78"/>
      <c r="M164" s="78"/>
      <c r="N164" s="78"/>
    </row>
    <row r="165" spans="1:5" ht="15">
      <c r="A165" s="8" t="s">
        <v>55</v>
      </c>
      <c r="B165" s="15" t="s">
        <v>70</v>
      </c>
      <c r="C165" s="15"/>
      <c r="D165" s="15"/>
      <c r="E165" s="15"/>
    </row>
    <row r="166" spans="1:14" ht="15">
      <c r="A166" s="8" t="s">
        <v>74</v>
      </c>
      <c r="B166" s="15" t="s">
        <v>71</v>
      </c>
      <c r="C166" s="15"/>
      <c r="K166" s="15"/>
      <c r="L166" s="78"/>
      <c r="M166" s="78"/>
      <c r="N166" s="78"/>
    </row>
    <row r="167" spans="1:14" ht="15">
      <c r="A167" s="8" t="s">
        <v>73</v>
      </c>
      <c r="B167" s="15" t="s">
        <v>72</v>
      </c>
      <c r="C167" s="15"/>
      <c r="K167" s="15"/>
      <c r="L167" s="78"/>
      <c r="M167" s="78"/>
      <c r="N167" s="78"/>
    </row>
    <row r="168" spans="1:14" ht="15">
      <c r="A168" s="8" t="s">
        <v>75</v>
      </c>
      <c r="B168" s="15" t="s">
        <v>76</v>
      </c>
      <c r="C168" s="15"/>
      <c r="K168" s="15"/>
      <c r="L168" s="78"/>
      <c r="M168" s="78"/>
      <c r="N168" s="78"/>
    </row>
    <row r="169" spans="1:14" ht="15">
      <c r="A169" s="8" t="s">
        <v>77</v>
      </c>
      <c r="B169" s="15" t="s">
        <v>78</v>
      </c>
      <c r="C169" s="15"/>
      <c r="K169" s="15"/>
      <c r="L169" s="78"/>
      <c r="M169" s="78"/>
      <c r="N169" s="78"/>
    </row>
    <row r="170" spans="1:3" ht="15">
      <c r="A170" s="8" t="s">
        <v>79</v>
      </c>
      <c r="B170" s="15" t="s">
        <v>80</v>
      </c>
      <c r="C170" s="15"/>
    </row>
    <row r="171" spans="2:14" ht="15">
      <c r="B171" s="15"/>
      <c r="C171" s="15"/>
      <c r="K171" s="15"/>
      <c r="L171" s="78"/>
      <c r="M171" s="78"/>
      <c r="N171" s="78"/>
    </row>
    <row r="172" spans="2:14" ht="15">
      <c r="B172" s="15"/>
      <c r="C172" s="15"/>
      <c r="K172" s="15"/>
      <c r="L172" s="78"/>
      <c r="M172" s="78"/>
      <c r="N172" s="78"/>
    </row>
    <row r="173" spans="2:14" ht="15">
      <c r="B173" s="15"/>
      <c r="C173" s="15"/>
      <c r="K173" s="15"/>
      <c r="L173" s="78"/>
      <c r="M173" s="78"/>
      <c r="N173" s="78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15"/>
      <c r="C197" s="15"/>
    </row>
    <row r="198" spans="2:3" ht="15">
      <c r="B198" s="15"/>
      <c r="C198" s="15"/>
    </row>
    <row r="199" spans="2:3" ht="15">
      <c r="B199" s="15"/>
      <c r="C199" s="15"/>
    </row>
    <row r="200" spans="2:3" ht="15">
      <c r="B200" s="15"/>
      <c r="C200" s="15"/>
    </row>
    <row r="201" spans="2:3" ht="15">
      <c r="B201" s="15"/>
      <c r="C201" s="15"/>
    </row>
    <row r="202" spans="2:3" ht="15">
      <c r="B202" s="15"/>
      <c r="C202" s="15"/>
    </row>
    <row r="203" spans="2:3" ht="15">
      <c r="B203" s="15"/>
      <c r="C203" s="15"/>
    </row>
    <row r="204" spans="2:3" ht="15">
      <c r="B204" s="15"/>
      <c r="C204" s="15"/>
    </row>
    <row r="205" spans="2:3" ht="15">
      <c r="B205" s="15"/>
      <c r="C205" s="15"/>
    </row>
    <row r="206" spans="2:3" ht="15">
      <c r="B206" s="15"/>
      <c r="C206" s="15"/>
    </row>
    <row r="207" spans="2:3" ht="15">
      <c r="B207" s="15"/>
      <c r="C207" s="15"/>
    </row>
    <row r="208" spans="2:3" ht="15">
      <c r="B208" s="222"/>
      <c r="C208" s="15"/>
    </row>
    <row r="209" spans="2:3" ht="15">
      <c r="B209" s="15"/>
      <c r="C209" s="15"/>
    </row>
    <row r="210" spans="1:3" ht="15">
      <c r="A210" s="222" t="s">
        <v>83</v>
      </c>
      <c r="B210" s="15" t="s">
        <v>98</v>
      </c>
      <c r="C210" s="15"/>
    </row>
    <row r="211" spans="1:3" ht="15">
      <c r="A211" s="223" t="s">
        <v>82</v>
      </c>
      <c r="B211" s="15"/>
      <c r="C211" s="15"/>
    </row>
    <row r="212" spans="1:3" ht="15">
      <c r="A212" s="222" t="s">
        <v>84</v>
      </c>
      <c r="B212" s="15" t="s">
        <v>85</v>
      </c>
      <c r="C212" s="15"/>
    </row>
    <row r="213" spans="1:3" ht="15">
      <c r="A213" s="222" t="s">
        <v>86</v>
      </c>
      <c r="B213" s="15" t="s">
        <v>87</v>
      </c>
      <c r="C213" s="15"/>
    </row>
    <row r="214" spans="1:3" ht="15">
      <c r="A214" s="222" t="s">
        <v>88</v>
      </c>
      <c r="B214" s="15" t="s">
        <v>89</v>
      </c>
      <c r="C214" s="15"/>
    </row>
    <row r="215" spans="1:3" ht="15">
      <c r="A215" s="222" t="s">
        <v>90</v>
      </c>
      <c r="B215" s="15" t="s">
        <v>91</v>
      </c>
      <c r="C215" s="15"/>
    </row>
    <row r="216" spans="1:3" ht="15">
      <c r="A216" s="222" t="s">
        <v>92</v>
      </c>
      <c r="B216" s="15" t="s">
        <v>93</v>
      </c>
      <c r="C216" s="15"/>
    </row>
    <row r="217" spans="1:3" ht="15">
      <c r="A217" s="222" t="s">
        <v>99</v>
      </c>
      <c r="B217" s="15" t="s">
        <v>96</v>
      </c>
      <c r="C217" s="15"/>
    </row>
    <row r="218" spans="1:3" ht="15">
      <c r="A218" s="222" t="s">
        <v>100</v>
      </c>
      <c r="B218" s="15" t="s">
        <v>97</v>
      </c>
      <c r="C218" s="15"/>
    </row>
    <row r="219" spans="1:3" ht="15">
      <c r="A219" s="222" t="s">
        <v>101</v>
      </c>
      <c r="B219" s="15" t="s">
        <v>95</v>
      </c>
      <c r="C219" s="15"/>
    </row>
    <row r="220" spans="1:3" ht="15">
      <c r="A220" s="222" t="s">
        <v>102</v>
      </c>
      <c r="B220" s="15" t="s">
        <v>94</v>
      </c>
      <c r="C220" s="15"/>
    </row>
    <row r="221" spans="1:3" ht="15">
      <c r="A221" s="222" t="s">
        <v>103</v>
      </c>
      <c r="B221" s="15" t="s">
        <v>104</v>
      </c>
      <c r="C221" s="15"/>
    </row>
    <row r="222" spans="1:3" ht="15">
      <c r="A222" s="222" t="s">
        <v>105</v>
      </c>
      <c r="B222" s="15" t="s">
        <v>109</v>
      </c>
      <c r="C222" s="15"/>
    </row>
    <row r="223" spans="1:3" ht="15">
      <c r="A223" s="222" t="s">
        <v>106</v>
      </c>
      <c r="B223" s="15" t="s">
        <v>107</v>
      </c>
      <c r="C223" s="15"/>
    </row>
    <row r="224" spans="1:3" ht="15">
      <c r="A224" s="222" t="s">
        <v>108</v>
      </c>
      <c r="B224" s="15" t="s">
        <v>109</v>
      </c>
      <c r="C224" s="15"/>
    </row>
    <row r="225" spans="1:3" ht="15">
      <c r="A225" s="222" t="s">
        <v>110</v>
      </c>
      <c r="B225" s="15" t="s">
        <v>114</v>
      </c>
      <c r="C225" s="15"/>
    </row>
    <row r="226" spans="1:2" ht="15">
      <c r="A226" s="222" t="s">
        <v>111</v>
      </c>
      <c r="B226" s="8" t="s">
        <v>112</v>
      </c>
    </row>
    <row r="227" spans="1:2" ht="15">
      <c r="A227" s="222" t="s">
        <v>113</v>
      </c>
      <c r="B227" s="8" t="s">
        <v>112</v>
      </c>
    </row>
    <row r="228" spans="1:2" ht="15">
      <c r="A228" s="222" t="s">
        <v>115</v>
      </c>
      <c r="B228" s="8" t="s">
        <v>116</v>
      </c>
    </row>
    <row r="229" spans="1:2" ht="15">
      <c r="A229" s="222" t="s">
        <v>117</v>
      </c>
      <c r="B229" s="8" t="s">
        <v>118</v>
      </c>
    </row>
    <row r="230" ht="15">
      <c r="A230" s="222"/>
    </row>
    <row r="231" ht="15">
      <c r="A231" s="222"/>
    </row>
    <row r="232" ht="15">
      <c r="A232" s="222"/>
    </row>
    <row r="233" ht="15">
      <c r="A233" s="222"/>
    </row>
    <row r="234" ht="15">
      <c r="A234" s="222"/>
    </row>
    <row r="235" ht="15">
      <c r="A235" s="222"/>
    </row>
    <row r="236" ht="15">
      <c r="A236" s="222"/>
    </row>
    <row r="237" ht="15">
      <c r="A237" s="222"/>
    </row>
    <row r="238" ht="15">
      <c r="A238" s="222"/>
    </row>
    <row r="239" ht="15">
      <c r="A239" s="222"/>
    </row>
    <row r="240" ht="15">
      <c r="A240" s="222"/>
    </row>
    <row r="241" ht="15">
      <c r="A241" s="222"/>
    </row>
  </sheetData>
  <sheetProtection/>
  <mergeCells count="3">
    <mergeCell ref="E46:F46"/>
    <mergeCell ref="A3:H3"/>
    <mergeCell ref="B4:G4"/>
  </mergeCells>
  <conditionalFormatting sqref="D82 D71:H81 D84:D86 E82:H86 D87:H90">
    <cfRule type="cellIs" priority="1" dxfId="0" operator="equal" stopIfTrue="1">
      <formula>0</formula>
    </cfRule>
  </conditionalFormatting>
  <dataValidations count="3">
    <dataValidation type="list" showInputMessage="1" showErrorMessage="1" sqref="A130">
      <formula1>$A$162:$A$165</formula1>
    </dataValidation>
    <dataValidation type="list" showInputMessage="1" showErrorMessage="1" sqref="A118">
      <formula1>$A$162:$A$169</formula1>
    </dataValidation>
    <dataValidation type="list" showInputMessage="1" showErrorMessage="1" sqref="A119:A129">
      <formula1>$A$162:$A$170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6" r:id="rId4"/>
  <rowBreaks count="1" manualBreakCount="1">
    <brk id="62" max="7" man="1"/>
  </rowBreaks>
  <ignoredErrors>
    <ignoredError sqref="E29 E2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2007-08-30T11:50:39Z</cp:lastPrinted>
  <dcterms:created xsi:type="dcterms:W3CDTF">1999-09-14T15:50:48Z</dcterms:created>
  <dcterms:modified xsi:type="dcterms:W3CDTF">2007-08-30T11:50:40Z</dcterms:modified>
  <cp:category/>
  <cp:version/>
  <cp:contentType/>
  <cp:contentStatus/>
</cp:coreProperties>
</file>