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COTTON Stacked X2 Strip Tillage" sheetId="1" r:id="rId1"/>
  </sheets>
  <definedNames>
    <definedName name="_xlnm.Print_Area" localSheetId="0">'COTTON Stacked X2 Strip Tillage'!$A$1:$H$140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1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F16" authorId="0">
      <text>
        <r>
          <rPr>
            <b/>
            <sz val="8"/>
            <rFont val="Tahoma"/>
            <family val="0"/>
          </rPr>
          <t>Bag Cost / Seed Count in thousands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sz val="8"/>
            <rFont val="Tahoma"/>
            <family val="0"/>
          </rPr>
          <t>Expected Market Price</t>
        </r>
      </text>
    </comment>
    <comment ref="F11" authorId="0">
      <text>
        <r>
          <rPr>
            <b/>
            <sz val="8"/>
            <rFont val="Tahoma"/>
            <family val="0"/>
          </rPr>
          <t>Gross Cotton Seed Price from Gin</t>
        </r>
      </text>
    </comment>
    <comment ref="E19" authorId="0">
      <text>
        <r>
          <rPr>
            <b/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b/>
            <sz val="8"/>
            <rFont val="Tahoma"/>
            <family val="0"/>
          </rPr>
          <t>Nutrient Removal based on expected crop yield.</t>
        </r>
      </text>
    </comment>
    <comment ref="E21" authorId="0">
      <text>
        <r>
          <rPr>
            <b/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D34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D43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113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A80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88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9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D150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E38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F57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F91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</commentList>
</comments>
</file>

<file path=xl/sharedStrings.xml><?xml version="1.0" encoding="utf-8"?>
<sst xmlns="http://schemas.openxmlformats.org/spreadsheetml/2006/main" count="349" uniqueCount="146">
  <si>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</si>
  <si>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</si>
  <si>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</si>
  <si>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</si>
  <si>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</si>
  <si>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</si>
  <si>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</si>
  <si>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</si>
  <si>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</si>
  <si>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</si>
  <si>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</si>
  <si>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>ACRE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</si>
  <si>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</si>
  <si>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</si>
  <si>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</si>
  <si>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</si>
  <si>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</si>
  <si>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</si>
  <si>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</si>
  <si>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</si>
  <si>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</si>
  <si>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</si>
  <si>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</si>
  <si>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</si>
  <si>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QT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</si>
  <si>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</si>
  <si>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</si>
  <si>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</si>
  <si>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</si>
  <si>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</si>
  <si>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</si>
  <si>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CASH RENT OR LAND CHARGE</t>
  </si>
  <si>
    <t xml:space="preserve">  CROP INSURANCE</t>
  </si>
  <si>
    <t xml:space="preserve">  PRODUCTION INTEREST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</si>
  <si>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</si>
  <si>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</si>
  <si>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</si>
  <si>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</si>
  <si>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</si>
  <si>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</si>
  <si>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</si>
  <si>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</si>
  <si>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</si>
  <si>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</si>
  <si>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</si>
  <si>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</si>
  <si>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</si>
  <si>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</si>
  <si>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</si>
  <si>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</si>
  <si>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</si>
  <si>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</si>
  <si>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</si>
  <si>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</si>
  <si>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</si>
  <si>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</si>
  <si>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</si>
  <si>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</si>
  <si>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</si>
  <si>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* This BUDGET is for PLANNING PURPOSES ONLY. Fertilizer rates are based on projected nutrient removal of harvested crop.</t>
  </si>
  <si>
    <t xml:space="preserve"> </t>
  </si>
  <si>
    <t>H</t>
  </si>
  <si>
    <t>Notes</t>
  </si>
  <si>
    <t>I</t>
  </si>
  <si>
    <t>F</t>
  </si>
  <si>
    <t>Eq Gallons</t>
  </si>
  <si>
    <t>POUND YIELD</t>
  </si>
  <si>
    <t>Cotton Lint</t>
  </si>
  <si>
    <t>Cotton Seed</t>
  </si>
  <si>
    <t xml:space="preserve">  Cover Crop</t>
  </si>
  <si>
    <t>1000 Seed</t>
  </si>
  <si>
    <t>Soil Test Recommendation</t>
  </si>
  <si>
    <t xml:space="preserve">    Nitrogen</t>
  </si>
  <si>
    <t xml:space="preserve">    Phosphate</t>
  </si>
  <si>
    <t xml:space="preserve">    Potash</t>
  </si>
  <si>
    <t xml:space="preserve">  LIME (Prorated)</t>
  </si>
  <si>
    <t xml:space="preserve"> Trace Elements (Boron)</t>
  </si>
  <si>
    <t xml:space="preserve">  Fertilizer Application</t>
  </si>
  <si>
    <t xml:space="preserve">MONTH </t>
  </si>
  <si>
    <t xml:space="preserve">PERIOD </t>
  </si>
  <si>
    <t>X</t>
  </si>
  <si>
    <t>OZ</t>
  </si>
  <si>
    <t>LB</t>
  </si>
  <si>
    <t>G</t>
  </si>
  <si>
    <t>Chemical Type: H = Herbicide; I = Insecticide; F = Fungicide; G = Growth Regulator; X=Nemacides/Fumigants;D=Defoliants</t>
  </si>
  <si>
    <t>180HP + Subsoiler-Planter W/Spray</t>
  </si>
  <si>
    <t>HIBOY (200HP - 60FT)</t>
  </si>
  <si>
    <t>COTTON PICKER 4-ROW</t>
  </si>
  <si>
    <t>75HP + Cotton Boll Buggy</t>
  </si>
  <si>
    <t>100HP + Cotton Module Builder</t>
  </si>
  <si>
    <t>120HP + Rotary Mower-15FT Foldup</t>
  </si>
  <si>
    <t>Cells with comments are identified by</t>
  </si>
  <si>
    <t>Herbicide</t>
  </si>
  <si>
    <t>Insecticide</t>
  </si>
  <si>
    <t>Fungicide</t>
  </si>
  <si>
    <t>D</t>
  </si>
  <si>
    <t>Defoliant</t>
  </si>
  <si>
    <t>Fumigant</t>
  </si>
  <si>
    <t>Growth Regulator</t>
  </si>
  <si>
    <t>A</t>
  </si>
  <si>
    <t>Adjuvants</t>
  </si>
  <si>
    <t>S</t>
  </si>
  <si>
    <t>Sucker Control</t>
  </si>
  <si>
    <t>Temik 15G</t>
  </si>
  <si>
    <t>Roundup or other Formulations</t>
  </si>
  <si>
    <t xml:space="preserve">May </t>
  </si>
  <si>
    <t xml:space="preserve">June </t>
  </si>
  <si>
    <t xml:space="preserve">July </t>
  </si>
  <si>
    <t>Pix Plus</t>
  </si>
  <si>
    <t xml:space="preserve">June / July 2X </t>
  </si>
  <si>
    <t xml:space="preserve">Sept. </t>
  </si>
  <si>
    <t>Prep</t>
  </si>
  <si>
    <t xml:space="preserve">  Herbicides</t>
  </si>
  <si>
    <t xml:space="preserve">  Insecticides</t>
  </si>
  <si>
    <t xml:space="preserve">  Nematicides / Fumigants</t>
  </si>
  <si>
    <t xml:space="preserve">  Defoliants</t>
  </si>
  <si>
    <t xml:space="preserve">  Growth Regulators</t>
  </si>
  <si>
    <t xml:space="preserve">  Scouting, IPM, Soil Sampling</t>
  </si>
  <si>
    <t xml:space="preserve">  VDACS-BWEP</t>
  </si>
  <si>
    <t xml:space="preserve">  Tractor Equipment: Fuel &amp; Oil</t>
  </si>
  <si>
    <t xml:space="preserve">  Tractor Equipment: Repairs</t>
  </si>
  <si>
    <t xml:space="preserve">  Tractor Equipment: Labor</t>
  </si>
  <si>
    <t>MONTHS</t>
  </si>
  <si>
    <t>PER LB.</t>
  </si>
  <si>
    <t xml:space="preserve">  Ginning</t>
  </si>
  <si>
    <t>Breakeven Yield</t>
  </si>
  <si>
    <t>Breakeven Price</t>
  </si>
  <si>
    <t>4. TOTAL VARIABLE COSTS</t>
  </si>
  <si>
    <t>Pounds</t>
  </si>
  <si>
    <t>PER Pound</t>
  </si>
  <si>
    <t>5. RETURN OVER TOTAL VARIABLE COSTS</t>
  </si>
  <si>
    <t>6. MACHINERY FIXED COSTS (BASED ON NEW EQUIPMENT COST)</t>
  </si>
  <si>
    <t xml:space="preserve"> TRACTOR &amp; MACHINERY</t>
  </si>
  <si>
    <t>7. OTHER FIXED COSTS</t>
  </si>
  <si>
    <t>8. TOTAL FIXED COSTS:</t>
  </si>
  <si>
    <t>9. TOTAL VARIABLE &amp; FIXED COSTS</t>
  </si>
  <si>
    <t>10. PROJECTED NET RETURNS TO LAND, RISK AND MANAGEMENT:</t>
  </si>
  <si>
    <t>Fuel</t>
  </si>
  <si>
    <t>2,4-D Ester</t>
  </si>
  <si>
    <t>-------------------------------------- FARM PRICE ($/Lb.) -------------------------------------</t>
  </si>
  <si>
    <t>Lbs.</t>
  </si>
  <si>
    <t>Orthene 97</t>
  </si>
  <si>
    <t>COTTON, Boll Guard 2, Roundup Ready Flex - Strip Tillage</t>
  </si>
  <si>
    <t xml:space="preserve">  SEED: COTTON-Stacked X2</t>
  </si>
  <si>
    <t>PUBLICATION 446-047-186</t>
  </si>
  <si>
    <t>Finish 6SC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</si>
</sst>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</numFmts>
  <fonts count="27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b/>
      <sz val="11"/>
      <color indexed="8"/>
      <name val="Arial"/>
      <family val="2"/>
    </font>
    <font>
      <sz val="12"/>
      <color indexed="12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44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 quotePrefix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164" fontId="14" fillId="0" borderId="0" xfId="0" applyNumberFormat="1" applyFont="1" applyFill="1" applyAlignment="1" applyProtection="1">
      <alignment horizontal="center"/>
      <protection locked="0"/>
    </xf>
    <xf numFmtId="164" fontId="12" fillId="0" borderId="0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2" xfId="0" applyFont="1" applyFill="1" applyBorder="1" applyAlignment="1" applyProtection="1">
      <alignment horizontal="center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center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 quotePrefix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right"/>
      <protection/>
    </xf>
    <xf numFmtId="2" fontId="0" fillId="0" borderId="24" xfId="0" applyFont="1" applyFill="1" applyBorder="1" applyAlignment="1" applyProtection="1">
      <alignment horizontal="center"/>
      <protection/>
    </xf>
    <xf numFmtId="2" fontId="0" fillId="0" borderId="24" xfId="0" applyFont="1" applyFill="1" applyBorder="1" applyAlignment="1" applyProtection="1">
      <alignment horizontal="right"/>
      <protection/>
    </xf>
    <xf numFmtId="164" fontId="0" fillId="0" borderId="24" xfId="0" applyNumberFormat="1" applyFont="1" applyFill="1" applyBorder="1" applyAlignment="1" applyProtection="1">
      <alignment horizontal="right"/>
      <protection/>
    </xf>
    <xf numFmtId="2" fontId="0" fillId="0" borderId="25" xfId="0" applyFont="1" applyFill="1" applyBorder="1" applyAlignment="1" applyProtection="1">
      <alignment horizontal="right"/>
      <protection/>
    </xf>
    <xf numFmtId="1" fontId="0" fillId="0" borderId="26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 quotePrefix="1">
      <alignment horizontal="right"/>
      <protection/>
    </xf>
    <xf numFmtId="2" fontId="0" fillId="0" borderId="1" xfId="0" applyFont="1" applyFill="1" applyBorder="1" applyAlignment="1" applyProtection="1">
      <alignment horizontal="right"/>
      <protection/>
    </xf>
    <xf numFmtId="2" fontId="0" fillId="0" borderId="27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6" xfId="0" applyNumberFormat="1" applyFont="1" applyFill="1" applyBorder="1" applyAlignment="1" applyProtection="1">
      <alignment horizontal="center"/>
      <protection/>
    </xf>
    <xf numFmtId="2" fontId="0" fillId="0" borderId="28" xfId="0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 horizontal="left"/>
      <protection locked="0"/>
    </xf>
    <xf numFmtId="164" fontId="5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ont="1" applyFill="1" applyAlignment="1" applyProtection="1" quotePrefix="1">
      <alignment horizontal="right"/>
      <protection/>
    </xf>
    <xf numFmtId="2" fontId="10" fillId="0" borderId="0" xfId="0" applyFont="1" applyFill="1" applyAlignment="1" applyProtection="1">
      <alignment horizontal="right"/>
      <protection/>
    </xf>
    <xf numFmtId="49" fontId="20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164" fontId="7" fillId="0" borderId="3" xfId="0" applyNumberFormat="1" applyFont="1" applyFill="1" applyBorder="1" applyAlignment="1" applyProtection="1">
      <alignment horizontal="right"/>
      <protection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1" fontId="1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23" fillId="0" borderId="0" xfId="0" applyNumberFormat="1" applyFont="1" applyFill="1" applyBorder="1" applyAlignment="1" applyProtection="1">
      <alignment/>
      <protection locked="0"/>
    </xf>
    <xf numFmtId="1" fontId="2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4" fillId="0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2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 quotePrefix="1">
      <alignment horizontal="right"/>
      <protection/>
    </xf>
    <xf numFmtId="2" fontId="25" fillId="0" borderId="24" xfId="0" applyNumberFormat="1" applyFont="1" applyFill="1" applyBorder="1" applyAlignment="1" applyProtection="1">
      <alignment/>
      <protection locked="0"/>
    </xf>
    <xf numFmtId="2" fontId="4" fillId="0" borderId="15" xfId="0" applyNumberFormat="1" applyFont="1" applyFill="1" applyBorder="1" applyAlignment="1" applyProtection="1">
      <alignment horizontal="right"/>
      <protection/>
    </xf>
    <xf numFmtId="2" fontId="0" fillId="0" borderId="10" xfId="0" applyNumberFormat="1" applyFont="1" applyFill="1" applyBorder="1" applyAlignment="1" applyProtection="1">
      <alignment horizontal="fill"/>
      <protection locked="0"/>
    </xf>
    <xf numFmtId="2" fontId="0" fillId="2" borderId="0" xfId="0" applyNumberFormat="1" applyFont="1" applyFill="1" applyAlignment="1" applyProtection="1">
      <alignment/>
      <protection locked="0"/>
    </xf>
    <xf numFmtId="164" fontId="6" fillId="0" borderId="24" xfId="0" applyNumberFormat="1" applyFont="1" applyFill="1" applyBorder="1" applyAlignment="1" applyProtection="1">
      <alignment horizontal="center"/>
      <protection locked="0"/>
    </xf>
    <xf numFmtId="2" fontId="0" fillId="2" borderId="24" xfId="0" applyNumberFormat="1" applyFont="1" applyFill="1" applyBorder="1" applyAlignment="1">
      <alignment horizontal="center"/>
    </xf>
    <xf numFmtId="2" fontId="15" fillId="0" borderId="0" xfId="0" applyFont="1" applyFill="1" applyAlignment="1" applyProtection="1">
      <alignment horizontal="center"/>
      <protection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17"/>
  <sheetViews>
    <sheetView tabSelected="1" zoomScale="110" zoomScaleNormal="110" zoomScaleSheetLayoutView="75" workbookViewId="0" topLeftCell="A1">
      <selection activeCell="E10" sqref="E10"/>
    </sheetView>
  </sheetViews>
  <sheetFormatPr defaultColWidth="8.88671875" defaultRowHeight="15"/>
  <cols>
    <col min="1" max="1" width="7.77734375" style="10" customWidth="1"/>
    <col min="2" max="2" width="26.10546875" style="10" customWidth="1"/>
    <col min="3" max="3" width="4.4453125" style="10" customWidth="1"/>
    <col min="4" max="4" width="9.77734375" style="10" customWidth="1"/>
    <col min="5" max="5" width="9.88671875" style="10" customWidth="1"/>
    <col min="6" max="6" width="12.5546875" style="11" customWidth="1"/>
    <col min="7" max="7" width="12.99609375" style="10" customWidth="1"/>
    <col min="8" max="8" width="12.5546875" style="10" customWidth="1"/>
    <col min="9" max="12" width="9.6640625" style="10" customWidth="1"/>
    <col min="13" max="13" width="7.6640625" style="10" customWidth="1"/>
    <col min="14" max="14" width="9.6640625" style="10" customWidth="1"/>
    <col min="15" max="15" width="10.6640625" style="10" customWidth="1"/>
    <col min="16" max="16384" width="9.6640625" style="10" customWidth="1"/>
  </cols>
  <sheetData>
    <row r="1" ht="75.75" customHeight="1"/>
    <row r="2" spans="1:19" ht="19.5" customHeight="1">
      <c r="A2" s="12">
        <v>2007</v>
      </c>
      <c r="B2" s="13"/>
      <c r="C2" s="13"/>
      <c r="D2" s="13"/>
      <c r="E2" s="13"/>
      <c r="F2" s="14"/>
      <c r="G2" s="13"/>
      <c r="H2" s="15" t="s">
        <v>144</v>
      </c>
      <c r="S2" s="16" t="s">
        <v>0</v>
      </c>
    </row>
    <row r="3" spans="1:19" ht="27" customHeight="1">
      <c r="A3" s="17"/>
      <c r="B3" s="18"/>
      <c r="C3" s="18"/>
      <c r="D3" s="19" t="s">
        <v>142</v>
      </c>
      <c r="E3" s="18"/>
      <c r="F3" s="20"/>
      <c r="G3" s="18"/>
      <c r="H3" s="21"/>
      <c r="S3" s="16"/>
    </row>
    <row r="4" spans="3:19" ht="19.5" customHeight="1">
      <c r="C4" s="22"/>
      <c r="D4" s="23" t="s">
        <v>28</v>
      </c>
      <c r="E4" s="24"/>
      <c r="F4" s="10"/>
      <c r="H4" s="25" t="s">
        <v>54</v>
      </c>
      <c r="K4" s="16"/>
      <c r="S4" s="16" t="s">
        <v>0</v>
      </c>
    </row>
    <row r="5" spans="2:8" ht="17.25" customHeight="1" thickBot="1">
      <c r="B5" s="26"/>
      <c r="C5" s="181">
        <f>E10</f>
        <v>750</v>
      </c>
      <c r="D5" s="22" t="s">
        <v>66</v>
      </c>
      <c r="G5" s="27"/>
      <c r="H5" s="28">
        <v>1</v>
      </c>
    </row>
    <row r="6" spans="1:8" ht="15.75" customHeight="1" thickTop="1">
      <c r="A6" s="29"/>
      <c r="B6" s="29"/>
      <c r="C6" s="29"/>
      <c r="D6" s="29"/>
      <c r="E6" s="30" t="s">
        <v>5</v>
      </c>
      <c r="F6" s="31" t="s">
        <v>1</v>
      </c>
      <c r="G6" s="30" t="s">
        <v>2</v>
      </c>
      <c r="H6" s="32" t="s">
        <v>3</v>
      </c>
    </row>
    <row r="7" spans="1:19" ht="15">
      <c r="A7" s="33" t="s">
        <v>0</v>
      </c>
      <c r="B7" s="34"/>
      <c r="C7" s="34"/>
      <c r="D7" s="35" t="s">
        <v>4</v>
      </c>
      <c r="E7" s="36" t="s">
        <v>7</v>
      </c>
      <c r="F7" s="37" t="s">
        <v>6</v>
      </c>
      <c r="G7" s="36" t="s">
        <v>7</v>
      </c>
      <c r="H7" s="38" t="s">
        <v>8</v>
      </c>
      <c r="K7" s="16"/>
      <c r="S7" s="16" t="s">
        <v>0</v>
      </c>
    </row>
    <row r="8" spans="5:8" ht="15">
      <c r="E8" s="39"/>
      <c r="F8" s="40"/>
      <c r="G8" s="39"/>
      <c r="H8" s="41"/>
    </row>
    <row r="9" spans="1:8" ht="15.75">
      <c r="A9" s="42" t="s">
        <v>9</v>
      </c>
      <c r="E9" s="39"/>
      <c r="F9" s="40"/>
      <c r="G9" s="39"/>
      <c r="H9" s="41"/>
    </row>
    <row r="10" spans="2:19" ht="15.75">
      <c r="B10" s="22" t="s">
        <v>67</v>
      </c>
      <c r="C10" s="22"/>
      <c r="D10" s="43" t="s">
        <v>26</v>
      </c>
      <c r="E10" s="44">
        <v>750</v>
      </c>
      <c r="F10" s="45">
        <v>0.62</v>
      </c>
      <c r="G10" s="2">
        <f>ROUND((E10*F10),2)</f>
        <v>465</v>
      </c>
      <c r="H10" s="115" t="str">
        <f>IF($H$5=1," ",IF(E10=0," ",$H$5*G10))</f>
        <v> </v>
      </c>
      <c r="K10" s="16"/>
      <c r="S10" s="16" t="s">
        <v>0</v>
      </c>
    </row>
    <row r="11" spans="2:19" ht="15.75">
      <c r="B11" s="22" t="s">
        <v>68</v>
      </c>
      <c r="C11" s="22"/>
      <c r="D11" s="43" t="s">
        <v>26</v>
      </c>
      <c r="E11" s="197">
        <f>E10*1.35</f>
        <v>1012.5000000000001</v>
      </c>
      <c r="F11" s="45">
        <v>0.055</v>
      </c>
      <c r="G11" s="2">
        <f>ROUND((E11*F11),2)</f>
        <v>55.69</v>
      </c>
      <c r="H11" s="115" t="str">
        <f>IF($H$5=1," ",IF(E11=0," ",$H$5*G11))</f>
        <v> </v>
      </c>
      <c r="K11" s="16"/>
      <c r="S11" s="16" t="s">
        <v>0</v>
      </c>
    </row>
    <row r="12" spans="4:24" ht="15">
      <c r="D12" s="43" t="s">
        <v>0</v>
      </c>
      <c r="E12" s="39" t="s">
        <v>0</v>
      </c>
      <c r="F12" s="40" t="s">
        <v>0</v>
      </c>
      <c r="G12" s="2"/>
      <c r="H12" s="116"/>
      <c r="L12" s="22"/>
      <c r="S12" s="16" t="s">
        <v>0</v>
      </c>
      <c r="X12" s="47" t="s">
        <v>0</v>
      </c>
    </row>
    <row r="13" spans="2:24" ht="15.75">
      <c r="B13" s="22" t="s">
        <v>10</v>
      </c>
      <c r="C13" s="22"/>
      <c r="E13" s="39"/>
      <c r="F13" s="40"/>
      <c r="G13" s="117">
        <f>SUM(G10:G12)</f>
        <v>520.69</v>
      </c>
      <c r="H13" s="115" t="str">
        <f>IF(G13=0," ",IF($H$5=1," ",$H$5*G13))</f>
        <v> </v>
      </c>
      <c r="K13" s="16"/>
      <c r="L13" s="22"/>
      <c r="S13" s="16" t="s">
        <v>0</v>
      </c>
      <c r="X13" s="47" t="s">
        <v>0</v>
      </c>
    </row>
    <row r="14" spans="4:24" ht="15">
      <c r="D14" s="43" t="s">
        <v>0</v>
      </c>
      <c r="E14" s="39" t="s">
        <v>0</v>
      </c>
      <c r="F14" s="40" t="s">
        <v>0</v>
      </c>
      <c r="G14" s="3" t="s">
        <v>0</v>
      </c>
      <c r="H14" s="116"/>
      <c r="K14" s="16"/>
      <c r="L14" s="22"/>
      <c r="S14" s="16" t="s">
        <v>0</v>
      </c>
      <c r="X14" s="47" t="s">
        <v>0</v>
      </c>
    </row>
    <row r="15" spans="1:24" ht="15.75">
      <c r="A15" s="42" t="s">
        <v>30</v>
      </c>
      <c r="D15" s="43" t="s">
        <v>0</v>
      </c>
      <c r="E15" s="39" t="s">
        <v>0</v>
      </c>
      <c r="F15" s="40" t="s">
        <v>0</v>
      </c>
      <c r="G15" s="3" t="s">
        <v>0</v>
      </c>
      <c r="H15" s="116"/>
      <c r="K15" s="16"/>
      <c r="S15" s="16" t="s">
        <v>0</v>
      </c>
      <c r="X15" s="47" t="s">
        <v>0</v>
      </c>
    </row>
    <row r="16" spans="2:19" ht="15.75">
      <c r="B16" s="48" t="s">
        <v>143</v>
      </c>
      <c r="C16" s="43"/>
      <c r="D16" s="195" t="s">
        <v>70</v>
      </c>
      <c r="E16" s="44">
        <v>43.56</v>
      </c>
      <c r="F16" s="114">
        <v>1.61</v>
      </c>
      <c r="G16" s="2">
        <f>ROUND((E16*F16),2)</f>
        <v>70.13</v>
      </c>
      <c r="H16" s="115" t="str">
        <f>IF($H$5=1," ",IF(E16=0," ",$H$5*G16))</f>
        <v> </v>
      </c>
      <c r="S16" s="16" t="s">
        <v>0</v>
      </c>
    </row>
    <row r="17" spans="2:19" ht="15.75">
      <c r="B17" s="194" t="s">
        <v>69</v>
      </c>
      <c r="C17" s="22"/>
      <c r="D17" s="48" t="s">
        <v>60</v>
      </c>
      <c r="E17" s="44"/>
      <c r="F17" s="114" t="s">
        <v>60</v>
      </c>
      <c r="G17" s="2" t="str">
        <f>IF(J17=0," ",ROUND((E17*F17),2))</f>
        <v> </v>
      </c>
      <c r="H17" s="115" t="str">
        <f>IF($H$5=1," ",IF(E17=0," ",$H$5*G17))</f>
        <v> </v>
      </c>
      <c r="S17" s="16"/>
    </row>
    <row r="18" spans="2:19" ht="15">
      <c r="B18" s="22" t="s">
        <v>57</v>
      </c>
      <c r="C18" s="198" t="s">
        <v>71</v>
      </c>
      <c r="D18" s="43"/>
      <c r="E18" s="44" t="s">
        <v>0</v>
      </c>
      <c r="F18" s="45" t="s">
        <v>60</v>
      </c>
      <c r="G18" s="2" t="s">
        <v>0</v>
      </c>
      <c r="H18" s="116"/>
      <c r="S18" s="16" t="s">
        <v>0</v>
      </c>
    </row>
    <row r="19" spans="2:19" ht="15.75">
      <c r="B19" s="22" t="s">
        <v>72</v>
      </c>
      <c r="C19" s="199"/>
      <c r="D19" s="43" t="s">
        <v>26</v>
      </c>
      <c r="E19" s="184">
        <f>ROUND(($E$10+$E$11)/2600*1.5*63,0)</f>
        <v>64</v>
      </c>
      <c r="F19" s="45">
        <v>0.38</v>
      </c>
      <c r="G19" s="196">
        <f>IF(C19=N(ISNUMBER(C19)),ROUND((E19*F19),2),ROUND((C19*F19),2))</f>
        <v>24.32</v>
      </c>
      <c r="H19" s="115" t="str">
        <f aca="true" t="shared" si="0" ref="H19:H38">IF($H$5=1," ",IF(E19=0," ",$H$5*G19))</f>
        <v> </v>
      </c>
      <c r="K19" s="16"/>
      <c r="S19" s="16" t="s">
        <v>0</v>
      </c>
    </row>
    <row r="20" spans="2:24" ht="15.75">
      <c r="B20" s="22" t="s">
        <v>73</v>
      </c>
      <c r="C20" s="199"/>
      <c r="D20" s="43" t="s">
        <v>26</v>
      </c>
      <c r="E20" s="184">
        <f>ROUND(($E$10+$E$11)/2600*1.3*25,0)</f>
        <v>22</v>
      </c>
      <c r="F20" s="45">
        <v>0.32</v>
      </c>
      <c r="G20" s="196">
        <f>IF(C20=N(ISNUMBER(C20)),ROUND((E20*F20),2),ROUND((C20*F20),2))</f>
        <v>7.04</v>
      </c>
      <c r="H20" s="115" t="str">
        <f t="shared" si="0"/>
        <v> </v>
      </c>
      <c r="K20" s="16"/>
      <c r="S20" s="16" t="s">
        <v>0</v>
      </c>
      <c r="X20" s="47" t="s">
        <v>0</v>
      </c>
    </row>
    <row r="21" spans="2:24" ht="15.75">
      <c r="B21" s="22" t="s">
        <v>74</v>
      </c>
      <c r="C21" s="199"/>
      <c r="D21" s="43" t="s">
        <v>26</v>
      </c>
      <c r="E21" s="184">
        <f>ROUND(($E$10+$E$11)/2600*1.3*31,0)</f>
        <v>27</v>
      </c>
      <c r="F21" s="45">
        <v>0.26</v>
      </c>
      <c r="G21" s="196">
        <f>IF(C21=N(ISNUMBER(C21)),ROUND((E21*F21),2),ROUND((C21*F21),2))</f>
        <v>7.02</v>
      </c>
      <c r="H21" s="115" t="str">
        <f t="shared" si="0"/>
        <v> </v>
      </c>
      <c r="K21" s="16"/>
      <c r="L21" s="22"/>
      <c r="S21" s="16" t="s">
        <v>0</v>
      </c>
      <c r="X21" s="47" t="s">
        <v>0</v>
      </c>
    </row>
    <row r="22" spans="2:19" ht="15.75">
      <c r="B22" s="22" t="s">
        <v>75</v>
      </c>
      <c r="C22" s="22"/>
      <c r="D22" s="43" t="s">
        <v>25</v>
      </c>
      <c r="E22" s="44">
        <v>0.33</v>
      </c>
      <c r="F22" s="45">
        <v>32.5</v>
      </c>
      <c r="G22" s="2">
        <f>ROUND((E22*F22),2)</f>
        <v>10.73</v>
      </c>
      <c r="H22" s="115" t="str">
        <f>IF($H$5=1," ",IF(E22=0," ",$H$5*G22))</f>
        <v> </v>
      </c>
      <c r="K22" s="16"/>
      <c r="L22" s="22"/>
      <c r="S22" s="16" t="s">
        <v>0</v>
      </c>
    </row>
    <row r="23" spans="2:19" ht="15.75">
      <c r="B23" s="22" t="s">
        <v>76</v>
      </c>
      <c r="C23" s="22"/>
      <c r="D23" s="43" t="s">
        <v>11</v>
      </c>
      <c r="E23" s="49">
        <v>1</v>
      </c>
      <c r="F23" s="45">
        <v>4.25</v>
      </c>
      <c r="G23" s="2">
        <f aca="true" t="shared" si="1" ref="G23:G33">ROUND((E23*F23),2)</f>
        <v>4.25</v>
      </c>
      <c r="H23" s="115" t="str">
        <f t="shared" si="0"/>
        <v> </v>
      </c>
      <c r="K23" s="16"/>
      <c r="L23" s="22"/>
      <c r="S23" s="16" t="s">
        <v>0</v>
      </c>
    </row>
    <row r="24" spans="2:24" ht="15.75">
      <c r="B24" s="22" t="s">
        <v>77</v>
      </c>
      <c r="C24" s="22"/>
      <c r="D24" s="43" t="s">
        <v>11</v>
      </c>
      <c r="E24" s="44">
        <v>1</v>
      </c>
      <c r="F24" s="45">
        <v>7.25</v>
      </c>
      <c r="G24" s="2">
        <f>ROUND((E24*F24),2)</f>
        <v>7.25</v>
      </c>
      <c r="H24" s="115" t="str">
        <f>IF($H$5=1," ",IF(E24=0," ",$H$5*G24))</f>
        <v> </v>
      </c>
      <c r="K24" s="16"/>
      <c r="L24" s="22"/>
      <c r="S24" s="16"/>
      <c r="X24" s="47"/>
    </row>
    <row r="25" spans="2:19" ht="15.75">
      <c r="B25" s="62" t="s">
        <v>114</v>
      </c>
      <c r="C25" s="22"/>
      <c r="D25" s="43" t="s">
        <v>11</v>
      </c>
      <c r="E25" s="49">
        <v>1</v>
      </c>
      <c r="F25" s="185">
        <f>IF(A114="X",G114,0)+IF(A115="X",G115,0)+IF(A116="X",G116,0)+IF(A117="X",G117,0)+IF(A118="X",G118,0)+IF(A119="X",G119,0)+IF(A120="X",G120,0)+IF(A121="X",G121,0)+IF(A122="X",G122,0)+IF(A123="X",G123,0)+IF(A124="X",G124,0)+IF(A125="X",G125,0)+IF(A126="X",G126,0)</f>
        <v>15.7</v>
      </c>
      <c r="G25" s="2">
        <f t="shared" si="1"/>
        <v>15.7</v>
      </c>
      <c r="H25" s="115" t="str">
        <f t="shared" si="0"/>
        <v> </v>
      </c>
      <c r="K25" s="16"/>
      <c r="L25" s="22"/>
      <c r="S25" s="16" t="s">
        <v>0</v>
      </c>
    </row>
    <row r="26" spans="2:19" ht="15.75">
      <c r="B26" s="62" t="s">
        <v>112</v>
      </c>
      <c r="C26" s="22"/>
      <c r="D26" s="43" t="s">
        <v>11</v>
      </c>
      <c r="E26" s="49">
        <v>1</v>
      </c>
      <c r="F26" s="185">
        <f>IF(A114="H",G114,0)+IF(A115="H",G115,0)+IF(A116="H",G116,0)+IF(A117="H",G117,0)+IF(A118="H",G118,0)+IF(A119="H",G119,0)+IF(A120="H",G120,0)+IF(A121="H",G121,0)+IF(A122="H",G122,0)+IF(A123="H",G123,0)+IF(A124="H",G124,0)+IF(A125="H",G125,0)+IF(A126="H",G126,0)</f>
        <v>17.330000000000002</v>
      </c>
      <c r="G26" s="2">
        <f t="shared" si="1"/>
        <v>17.33</v>
      </c>
      <c r="H26" s="115" t="str">
        <f t="shared" si="0"/>
        <v> </v>
      </c>
      <c r="K26" s="16"/>
      <c r="L26" s="22"/>
      <c r="S26" s="16"/>
    </row>
    <row r="27" spans="2:19" ht="15.75">
      <c r="B27" s="62" t="s">
        <v>113</v>
      </c>
      <c r="C27" s="22"/>
      <c r="D27" s="43" t="s">
        <v>11</v>
      </c>
      <c r="E27" s="49">
        <v>1</v>
      </c>
      <c r="F27" s="185">
        <f>IF(A114="i",G114,0)+IF(A115="i",G115,0)+IF(A116="i",G116,0)+IF(A117="i",G117,0)+IF(A118="i",G118,0)+IF(A119="i",G119,0)+IF(A120="i",G120,0)+IF(A121="i",G121,0)+IF(A122="i",G122,0)+IF(A123="i",G123,0)+IF(A124="i",G124,0)+IF(A125="i",G125,0)+IF(A126="i",G126,0)</f>
        <v>9.38</v>
      </c>
      <c r="G27" s="2">
        <f t="shared" si="1"/>
        <v>9.38</v>
      </c>
      <c r="H27" s="115" t="str">
        <f t="shared" si="0"/>
        <v> </v>
      </c>
      <c r="K27" s="16"/>
      <c r="L27" s="22"/>
      <c r="S27" s="16"/>
    </row>
    <row r="28" spans="2:19" ht="15.75">
      <c r="B28" s="62" t="s">
        <v>116</v>
      </c>
      <c r="C28" s="22"/>
      <c r="D28" s="43" t="s">
        <v>11</v>
      </c>
      <c r="E28" s="49">
        <v>1</v>
      </c>
      <c r="F28" s="185">
        <f>IF(A114="G",G114,0)+IF(A115="G",G115,0)+IF(A116="G",G116,0)+IF(A117="G",G117,0)+IF(A118="G",G118,0)+IF(A119="G",G119,0)+IF(A120="G",G120,0)+IF(A121="G",G121,0)+IF(A122="G",G122,0)+IF(A123="G",G123,0)+IF(A124="G",G124,0)+IF(A125="G",G125,0)+IF(A126="G",G126,0)</f>
        <v>18.61</v>
      </c>
      <c r="G28" s="2">
        <f>ROUND((E28*F28),2)</f>
        <v>18.61</v>
      </c>
      <c r="H28" s="115" t="str">
        <f>IF($H$5=1," ",IF(E28=0," ",$H$5*G28))</f>
        <v> </v>
      </c>
      <c r="K28" s="16"/>
      <c r="L28" s="22"/>
      <c r="S28" s="16"/>
    </row>
    <row r="29" spans="2:19" ht="15.75">
      <c r="B29" s="222" t="s">
        <v>115</v>
      </c>
      <c r="C29" s="22"/>
      <c r="D29" s="43" t="s">
        <v>11</v>
      </c>
      <c r="E29" s="49">
        <v>1</v>
      </c>
      <c r="F29" s="185">
        <f>IF(A114="D",G114,0)+IF(A115="D",G115,0)+IF(A116="D",G116,0)+IF(A117="D",G117,0)+IF(A118="D",G118,0)+IF(A119="D",G119,0)+IF(A120="D",G120,0)+IF(A121="D",G121,0)+IF(A122="D",G122,0)+IF(A123="D",G123,0)+IF(A124="D",G124,0)+IF(A125="D",G125,0)+IF(A126="D",G126,0)</f>
        <v>5</v>
      </c>
      <c r="G29" s="2">
        <f>ROUND((E29*F29),2)</f>
        <v>5</v>
      </c>
      <c r="H29" s="115" t="str">
        <f>IF($H$5=1," ",IF(E29=0," ",$H$5*G29))</f>
        <v> </v>
      </c>
      <c r="K29" s="16"/>
      <c r="L29" s="22"/>
      <c r="S29" s="16"/>
    </row>
    <row r="30" spans="2:19" ht="15.75">
      <c r="B30" s="22" t="s">
        <v>117</v>
      </c>
      <c r="C30" s="22"/>
      <c r="D30" s="43" t="s">
        <v>11</v>
      </c>
      <c r="E30" s="44">
        <v>0</v>
      </c>
      <c r="F30" s="114">
        <v>8.5</v>
      </c>
      <c r="G30" s="2">
        <f t="shared" si="1"/>
        <v>0</v>
      </c>
      <c r="H30" s="115" t="str">
        <f t="shared" si="0"/>
        <v> </v>
      </c>
      <c r="K30" s="16"/>
      <c r="L30" s="22"/>
      <c r="S30" s="16"/>
    </row>
    <row r="31" spans="2:19" ht="15.75">
      <c r="B31" s="22" t="s">
        <v>118</v>
      </c>
      <c r="C31" s="22"/>
      <c r="D31" s="43" t="s">
        <v>11</v>
      </c>
      <c r="E31" s="49">
        <v>1</v>
      </c>
      <c r="F31" s="192">
        <v>3.5</v>
      </c>
      <c r="G31" s="2">
        <f t="shared" si="1"/>
        <v>3.5</v>
      </c>
      <c r="H31" s="115" t="str">
        <f>IF($H$5=1," ",IF(E31=0," ",$H$5*G31))</f>
        <v> </v>
      </c>
      <c r="K31" s="16"/>
      <c r="L31" s="22"/>
      <c r="S31" s="16"/>
    </row>
    <row r="32" spans="2:19" ht="15.75">
      <c r="B32" s="22" t="s">
        <v>32</v>
      </c>
      <c r="C32" s="22"/>
      <c r="D32" s="43" t="s">
        <v>11</v>
      </c>
      <c r="E32" s="49">
        <v>1</v>
      </c>
      <c r="F32" s="183">
        <v>11.97</v>
      </c>
      <c r="G32" s="2">
        <f t="shared" si="1"/>
        <v>11.97</v>
      </c>
      <c r="H32" s="115" t="str">
        <f>IF($H$5=1," ",IF(E32=0," ",$H$5*G32))</f>
        <v> </v>
      </c>
      <c r="K32" s="16"/>
      <c r="L32" s="22"/>
      <c r="S32" s="16"/>
    </row>
    <row r="33" spans="2:19" ht="15.75">
      <c r="B33" s="22" t="s">
        <v>31</v>
      </c>
      <c r="C33" s="22"/>
      <c r="D33" s="43" t="s">
        <v>11</v>
      </c>
      <c r="E33" s="49">
        <v>1</v>
      </c>
      <c r="F33" s="45">
        <v>0</v>
      </c>
      <c r="G33" s="2">
        <f t="shared" si="1"/>
        <v>0</v>
      </c>
      <c r="H33" s="115" t="str">
        <f>IF($H$5=1," ",IF(E33=0," ",$H$5*G33))</f>
        <v> </v>
      </c>
      <c r="K33" s="16"/>
      <c r="L33" s="22"/>
      <c r="S33" s="16"/>
    </row>
    <row r="34" spans="2:19" ht="15.75">
      <c r="B34" s="62" t="s">
        <v>119</v>
      </c>
      <c r="C34" s="22"/>
      <c r="D34" s="89" t="s">
        <v>65</v>
      </c>
      <c r="E34" s="184">
        <f>F81/F91</f>
        <v>3.208510638297872</v>
      </c>
      <c r="F34" s="192">
        <v>2.35</v>
      </c>
      <c r="G34" s="2">
        <f>ROUND((E34*F34),2)</f>
        <v>7.54</v>
      </c>
      <c r="H34" s="115" t="str">
        <f t="shared" si="0"/>
        <v> </v>
      </c>
      <c r="K34" s="16"/>
      <c r="L34" s="22"/>
      <c r="S34" s="16"/>
    </row>
    <row r="35" spans="2:19" ht="15.75">
      <c r="B35" s="62" t="s">
        <v>120</v>
      </c>
      <c r="C35" s="22"/>
      <c r="D35" s="43" t="s">
        <v>11</v>
      </c>
      <c r="E35" s="49">
        <v>1</v>
      </c>
      <c r="F35" s="183">
        <f>G81</f>
        <v>5.51</v>
      </c>
      <c r="G35" s="2">
        <f>ROUND((E35*F35),2)</f>
        <v>5.51</v>
      </c>
      <c r="H35" s="115" t="str">
        <f t="shared" si="0"/>
        <v> </v>
      </c>
      <c r="K35" s="16"/>
      <c r="L35" s="22"/>
      <c r="S35" s="16"/>
    </row>
    <row r="36" spans="2:19" ht="15.75">
      <c r="B36" s="62" t="s">
        <v>121</v>
      </c>
      <c r="C36" s="22"/>
      <c r="D36" s="43" t="s">
        <v>12</v>
      </c>
      <c r="E36" s="184">
        <f>D81</f>
        <v>0.44999999999999996</v>
      </c>
      <c r="F36" s="45">
        <v>12</v>
      </c>
      <c r="G36" s="2">
        <f>ROUND((E36*F36),2)</f>
        <v>5.4</v>
      </c>
      <c r="H36" s="115" t="str">
        <f t="shared" si="0"/>
        <v> </v>
      </c>
      <c r="K36" s="16"/>
      <c r="L36" s="22"/>
      <c r="S36" s="16"/>
    </row>
    <row r="37" spans="2:19" ht="15.75">
      <c r="B37" s="22"/>
      <c r="C37" s="22"/>
      <c r="D37" s="43"/>
      <c r="E37" s="44"/>
      <c r="F37" s="46"/>
      <c r="G37" s="2"/>
      <c r="H37" s="115" t="str">
        <f t="shared" si="0"/>
        <v> </v>
      </c>
      <c r="K37" s="16"/>
      <c r="L37" s="22"/>
      <c r="S37" s="16"/>
    </row>
    <row r="38" spans="2:19" s="62" customFormat="1" ht="15.75">
      <c r="B38" s="62" t="s">
        <v>33</v>
      </c>
      <c r="C38" s="223">
        <v>6</v>
      </c>
      <c r="D38" s="89" t="s">
        <v>122</v>
      </c>
      <c r="E38" s="224">
        <f>SUM(G16:G37)*$C$38/12</f>
        <v>115.33999999999999</v>
      </c>
      <c r="F38" s="128">
        <v>0.07</v>
      </c>
      <c r="G38" s="224">
        <f>ROUND((E38*F38),2)</f>
        <v>8.07</v>
      </c>
      <c r="H38" s="115" t="str">
        <f t="shared" si="0"/>
        <v> </v>
      </c>
      <c r="K38" s="64"/>
      <c r="S38" s="64"/>
    </row>
    <row r="39" spans="5:8" ht="16.5" thickBot="1">
      <c r="E39" s="3"/>
      <c r="F39" s="40"/>
      <c r="G39" s="118"/>
      <c r="H39" s="118"/>
    </row>
    <row r="40" spans="1:24" ht="16.5" thickTop="1">
      <c r="A40" s="50"/>
      <c r="B40" s="51" t="s">
        <v>34</v>
      </c>
      <c r="C40" s="51"/>
      <c r="D40" s="51"/>
      <c r="E40" s="119">
        <f>G40/E10</f>
        <v>0.3183333333333333</v>
      </c>
      <c r="F40" s="52" t="s">
        <v>123</v>
      </c>
      <c r="G40" s="119">
        <f>SUM(G15:G38)</f>
        <v>238.74999999999997</v>
      </c>
      <c r="H40" s="115" t="str">
        <f>IF(G40=0," ",IF($H$5=1," ",$H$5*G40))</f>
        <v> </v>
      </c>
      <c r="K40" s="16"/>
      <c r="S40" s="16" t="s">
        <v>0</v>
      </c>
      <c r="X40" s="47" t="s">
        <v>0</v>
      </c>
    </row>
    <row r="41" spans="5:19" ht="15" customHeight="1">
      <c r="E41" s="39"/>
      <c r="F41" s="40"/>
      <c r="G41" s="3"/>
      <c r="H41" s="116"/>
      <c r="K41" s="16"/>
      <c r="S41" s="16" t="s">
        <v>0</v>
      </c>
    </row>
    <row r="42" spans="1:19" ht="15" customHeight="1">
      <c r="A42" s="42" t="s">
        <v>47</v>
      </c>
      <c r="E42" s="39"/>
      <c r="F42" s="40"/>
      <c r="G42" s="3"/>
      <c r="H42" s="116"/>
      <c r="K42" s="16"/>
      <c r="S42" s="16"/>
    </row>
    <row r="43" spans="2:19" ht="15" customHeight="1">
      <c r="B43" s="62" t="s">
        <v>119</v>
      </c>
      <c r="C43" s="22"/>
      <c r="D43" s="89" t="s">
        <v>65</v>
      </c>
      <c r="E43" s="184">
        <f>F89/F91</f>
        <v>5.9787234042553195</v>
      </c>
      <c r="F43" s="191">
        <v>2.35</v>
      </c>
      <c r="G43" s="2">
        <f>ROUND((E43*F43),2)</f>
        <v>14.05</v>
      </c>
      <c r="H43" s="115" t="str">
        <f>IF($H$5=1," ",IF(E43=0," ",$H$5*G43))</f>
        <v> </v>
      </c>
      <c r="K43" s="16"/>
      <c r="S43" s="16"/>
    </row>
    <row r="44" spans="2:19" ht="15" customHeight="1">
      <c r="B44" s="62" t="s">
        <v>120</v>
      </c>
      <c r="C44" s="22"/>
      <c r="D44" s="43" t="s">
        <v>11</v>
      </c>
      <c r="E44" s="49">
        <v>1</v>
      </c>
      <c r="F44" s="182">
        <f>G89</f>
        <v>28.45</v>
      </c>
      <c r="G44" s="2">
        <f>ROUND((E44*F44),2)</f>
        <v>28.45</v>
      </c>
      <c r="H44" s="115" t="str">
        <f>IF($H$5=1," ",IF(E44=0," ",$H$5*G44))</f>
        <v> </v>
      </c>
      <c r="K44" s="16"/>
      <c r="S44" s="16"/>
    </row>
    <row r="45" spans="2:19" ht="15.75">
      <c r="B45" s="62" t="s">
        <v>121</v>
      </c>
      <c r="C45" s="22"/>
      <c r="D45" s="43" t="s">
        <v>12</v>
      </c>
      <c r="E45" s="3">
        <f>D89</f>
        <v>1.25</v>
      </c>
      <c r="F45" s="1">
        <v>12</v>
      </c>
      <c r="G45" s="2">
        <f>ROUND((E45*F45),2)</f>
        <v>15</v>
      </c>
      <c r="H45" s="115" t="str">
        <f>IF($H$5=1," ",IF(E45=0," ",$H$5*G45))</f>
        <v> </v>
      </c>
      <c r="K45" s="16"/>
      <c r="S45" s="16" t="s">
        <v>0</v>
      </c>
    </row>
    <row r="46" spans="2:19" ht="15.75">
      <c r="B46" s="22" t="s">
        <v>124</v>
      </c>
      <c r="C46" s="22"/>
      <c r="D46" s="43" t="s">
        <v>26</v>
      </c>
      <c r="E46" s="3">
        <f>$E$10</f>
        <v>750</v>
      </c>
      <c r="F46" s="1">
        <v>0.1</v>
      </c>
      <c r="G46" s="2">
        <f>ROUND((E46*F46),2)</f>
        <v>75</v>
      </c>
      <c r="H46" s="115" t="str">
        <f>IF($H$5=1," ",IF(E46=0," ",$H$5*G46))</f>
        <v> </v>
      </c>
      <c r="K46" s="16"/>
      <c r="S46" s="16" t="s">
        <v>0</v>
      </c>
    </row>
    <row r="47" spans="5:24" ht="16.5" thickBot="1">
      <c r="E47" s="3"/>
      <c r="F47" s="40"/>
      <c r="G47" s="118"/>
      <c r="H47" s="118"/>
      <c r="K47" s="16"/>
      <c r="S47" s="16" t="s">
        <v>0</v>
      </c>
      <c r="X47" s="47" t="s">
        <v>0</v>
      </c>
    </row>
    <row r="48" spans="1:24" ht="16.5" thickTop="1">
      <c r="A48" s="50"/>
      <c r="B48" s="51" t="s">
        <v>35</v>
      </c>
      <c r="C48" s="34"/>
      <c r="D48" s="34"/>
      <c r="E48" s="119">
        <f>G48/E10</f>
        <v>0.17666666666666667</v>
      </c>
      <c r="F48" s="52" t="s">
        <v>123</v>
      </c>
      <c r="G48" s="119">
        <f>SUM(G42:G47)</f>
        <v>132.5</v>
      </c>
      <c r="H48" s="115" t="str">
        <f>IF(G48=0," ",IF($H$5=1," ",$H$5*G48))</f>
        <v> </v>
      </c>
      <c r="K48" s="16"/>
      <c r="S48" s="16" t="s">
        <v>0</v>
      </c>
      <c r="X48" s="47" t="s">
        <v>0</v>
      </c>
    </row>
    <row r="49" spans="1:24" s="62" customFormat="1" ht="15.75">
      <c r="A49" s="213"/>
      <c r="B49" s="213"/>
      <c r="C49" s="225" t="s">
        <v>125</v>
      </c>
      <c r="D49" s="213"/>
      <c r="E49" s="240" t="s">
        <v>126</v>
      </c>
      <c r="F49" s="241"/>
      <c r="G49" s="120"/>
      <c r="H49" s="121"/>
      <c r="K49" s="64"/>
      <c r="S49" s="64"/>
      <c r="X49" s="65"/>
    </row>
    <row r="50" spans="1:24" s="62" customFormat="1" ht="15.75">
      <c r="A50" s="56" t="s">
        <v>127</v>
      </c>
      <c r="B50" s="56"/>
      <c r="C50" s="226">
        <f>G50/$F$10</f>
        <v>598.7903225806451</v>
      </c>
      <c r="D50" s="227" t="s">
        <v>128</v>
      </c>
      <c r="E50" s="120">
        <f>G50/$E$10</f>
        <v>0.495</v>
      </c>
      <c r="F50" s="228" t="s">
        <v>129</v>
      </c>
      <c r="G50" s="120">
        <f>G40+G48</f>
        <v>371.25</v>
      </c>
      <c r="H50" s="115" t="str">
        <f>IF(G50=0," ",IF($H$5=1," ",$H$5*G50))</f>
        <v> </v>
      </c>
      <c r="K50" s="64"/>
      <c r="S50" s="64"/>
      <c r="X50" s="65"/>
    </row>
    <row r="51" spans="1:24" s="62" customFormat="1" ht="15.75">
      <c r="A51" s="56"/>
      <c r="B51" s="56"/>
      <c r="C51" s="229"/>
      <c r="D51" s="89"/>
      <c r="E51" s="120"/>
      <c r="F51" s="228"/>
      <c r="G51" s="120"/>
      <c r="H51" s="193"/>
      <c r="K51" s="64"/>
      <c r="S51" s="64"/>
      <c r="X51" s="65"/>
    </row>
    <row r="52" spans="1:24" s="62" customFormat="1" ht="15.75">
      <c r="A52" s="56" t="s">
        <v>130</v>
      </c>
      <c r="B52" s="56"/>
      <c r="C52" s="229"/>
      <c r="D52" s="89"/>
      <c r="E52" s="120"/>
      <c r="F52" s="228"/>
      <c r="G52" s="120">
        <f>G13-G50</f>
        <v>149.44000000000005</v>
      </c>
      <c r="H52" s="115" t="str">
        <f>IF(G52=0," ",IF($H$5=1," ",$H$5*G52))</f>
        <v> </v>
      </c>
      <c r="K52" s="64"/>
      <c r="S52" s="64"/>
      <c r="X52" s="65"/>
    </row>
    <row r="53" spans="6:8" s="62" customFormat="1" ht="15">
      <c r="F53" s="63"/>
      <c r="G53" s="220"/>
      <c r="H53" s="220"/>
    </row>
    <row r="54" spans="1:24" s="62" customFormat="1" ht="19.5" customHeight="1">
      <c r="A54" s="42" t="s">
        <v>131</v>
      </c>
      <c r="D54" s="89"/>
      <c r="E54" s="230"/>
      <c r="F54" s="231"/>
      <c r="G54" s="232" t="s">
        <v>0</v>
      </c>
      <c r="H54" s="233"/>
      <c r="K54" s="64"/>
      <c r="S54" s="64" t="s">
        <v>0</v>
      </c>
      <c r="X54" s="65" t="s">
        <v>0</v>
      </c>
    </row>
    <row r="55" spans="2:8" s="62" customFormat="1" ht="15.75">
      <c r="B55" s="62" t="s">
        <v>132</v>
      </c>
      <c r="D55" s="89" t="s">
        <v>11</v>
      </c>
      <c r="E55" s="49">
        <v>1</v>
      </c>
      <c r="F55" s="182">
        <f>H81+H89</f>
        <v>90.12</v>
      </c>
      <c r="G55" s="224">
        <f>ROUND((E55*F55),2)</f>
        <v>90.12</v>
      </c>
      <c r="H55" s="115" t="str">
        <f>IF($H$5=1," ",IF(E55=0," ",$H$5*G55))</f>
        <v> </v>
      </c>
    </row>
    <row r="56" spans="1:19" s="62" customFormat="1" ht="16.5" customHeight="1">
      <c r="A56" s="42" t="s">
        <v>133</v>
      </c>
      <c r="E56" s="230"/>
      <c r="F56" s="231"/>
      <c r="G56" s="232"/>
      <c r="H56" s="233"/>
      <c r="K56" s="64"/>
      <c r="S56" s="64" t="s">
        <v>0</v>
      </c>
    </row>
    <row r="57" spans="2:24" s="62" customFormat="1" ht="18.75" customHeight="1">
      <c r="B57" s="62" t="s">
        <v>49</v>
      </c>
      <c r="D57" s="89" t="s">
        <v>13</v>
      </c>
      <c r="E57" s="224">
        <f>(G50)</f>
        <v>371.25</v>
      </c>
      <c r="F57" s="128">
        <v>0.08</v>
      </c>
      <c r="G57" s="224">
        <f>ROUND((E57*F57),2)</f>
        <v>29.7</v>
      </c>
      <c r="H57" s="115" t="str">
        <f>IF($H$5=1," ",IF(E57=0," ",$H$5*G57))</f>
        <v> </v>
      </c>
      <c r="K57" s="64"/>
      <c r="S57" s="64" t="s">
        <v>0</v>
      </c>
      <c r="X57" s="65" t="s">
        <v>0</v>
      </c>
    </row>
    <row r="58" spans="4:19" s="62" customFormat="1" ht="16.5" thickBot="1">
      <c r="D58" s="89" t="s">
        <v>0</v>
      </c>
      <c r="E58" s="232" t="s">
        <v>0</v>
      </c>
      <c r="F58" s="231"/>
      <c r="G58" s="122"/>
      <c r="H58" s="123"/>
      <c r="K58" s="64"/>
      <c r="S58" s="64" t="s">
        <v>0</v>
      </c>
    </row>
    <row r="59" spans="1:19" s="62" customFormat="1" ht="16.5" thickTop="1">
      <c r="A59" s="234" t="s">
        <v>134</v>
      </c>
      <c r="E59" s="232"/>
      <c r="F59" s="231"/>
      <c r="G59" s="124">
        <f>SUM(G55:G57)</f>
        <v>119.82000000000001</v>
      </c>
      <c r="H59" s="115" t="str">
        <f>IF(G59=0," ",IF($H$5=1," ",$H$5*G59))</f>
        <v> </v>
      </c>
      <c r="K59" s="64"/>
      <c r="S59" s="64" t="s">
        <v>0</v>
      </c>
    </row>
    <row r="60" spans="5:24" s="62" customFormat="1" ht="15">
      <c r="E60" s="232"/>
      <c r="F60" s="231"/>
      <c r="G60" s="232"/>
      <c r="H60" s="233"/>
      <c r="K60" s="64"/>
      <c r="S60" s="64" t="s">
        <v>0</v>
      </c>
      <c r="X60" s="65" t="s">
        <v>0</v>
      </c>
    </row>
    <row r="61" spans="1:24" s="62" customFormat="1" ht="16.5" thickBot="1">
      <c r="A61" s="56" t="s">
        <v>135</v>
      </c>
      <c r="B61" s="57"/>
      <c r="C61" s="57"/>
      <c r="D61" s="57"/>
      <c r="E61" s="120">
        <f>G61/$E$10</f>
        <v>0.65476</v>
      </c>
      <c r="F61" s="55" t="s">
        <v>129</v>
      </c>
      <c r="G61" s="125">
        <f>G50+G59</f>
        <v>491.07</v>
      </c>
      <c r="H61" s="237" t="str">
        <f>IF(G61=0," ",IF($H$5=1," ",$H$5*G61))</f>
        <v> </v>
      </c>
      <c r="K61" s="64"/>
      <c r="S61" s="64" t="s">
        <v>0</v>
      </c>
      <c r="X61" s="65" t="s">
        <v>0</v>
      </c>
    </row>
    <row r="62" spans="5:19" s="62" customFormat="1" ht="16.5" thickBot="1" thickTop="1">
      <c r="E62" s="230"/>
      <c r="F62" s="231"/>
      <c r="G62" s="224"/>
      <c r="H62" s="233"/>
      <c r="K62" s="64"/>
      <c r="S62" s="64" t="s">
        <v>0</v>
      </c>
    </row>
    <row r="63" spans="1:24" s="62" customFormat="1" ht="18.75" customHeight="1" thickBot="1" thickTop="1">
      <c r="A63" s="58" t="s">
        <v>136</v>
      </c>
      <c r="B63" s="58"/>
      <c r="C63" s="58"/>
      <c r="D63" s="58"/>
      <c r="E63" s="59"/>
      <c r="F63" s="60"/>
      <c r="G63" s="126">
        <f>G13-G61</f>
        <v>29.62000000000006</v>
      </c>
      <c r="H63" s="127" t="str">
        <f>IF(G63=0," ",IF($H$5=1," ",$H$5*G63))</f>
        <v> </v>
      </c>
      <c r="K63" s="64"/>
      <c r="S63" s="64" t="s">
        <v>0</v>
      </c>
      <c r="X63" s="65" t="s">
        <v>0</v>
      </c>
    </row>
    <row r="64" spans="1:24" s="62" customFormat="1" ht="15.75" thickTop="1">
      <c r="A64" s="61" t="s">
        <v>59</v>
      </c>
      <c r="F64" s="63"/>
      <c r="K64" s="64"/>
      <c r="S64" s="64" t="s">
        <v>0</v>
      </c>
      <c r="X64" s="65" t="s">
        <v>0</v>
      </c>
    </row>
    <row r="65" ht="15">
      <c r="A65" s="61" t="s">
        <v>56</v>
      </c>
    </row>
    <row r="66" ht="15"/>
    <row r="67" ht="15"/>
    <row r="68" spans="11:24" ht="15.75" thickBot="1">
      <c r="K68" s="16"/>
      <c r="L68" s="22"/>
      <c r="S68" s="16" t="s">
        <v>0</v>
      </c>
      <c r="X68" s="47" t="s">
        <v>0</v>
      </c>
    </row>
    <row r="69" spans="1:24" ht="20.25">
      <c r="A69" s="188" t="str">
        <f>D3</f>
        <v>COTTON, Boll Guard 2, Roundup Ready Flex - Strip Tillage</v>
      </c>
      <c r="B69" s="66"/>
      <c r="C69" s="66"/>
      <c r="D69" s="66"/>
      <c r="E69" s="66"/>
      <c r="F69" s="67"/>
      <c r="G69" s="66"/>
      <c r="H69" s="68"/>
      <c r="K69" s="16"/>
      <c r="S69" s="16" t="s">
        <v>0</v>
      </c>
      <c r="X69" s="47" t="s">
        <v>0</v>
      </c>
    </row>
    <row r="70" spans="1:24" ht="16.5" thickBot="1">
      <c r="A70" s="69"/>
      <c r="B70" s="70" t="s">
        <v>46</v>
      </c>
      <c r="C70" s="70"/>
      <c r="D70" s="71"/>
      <c r="E70" s="71"/>
      <c r="F70" s="72"/>
      <c r="G70" s="71"/>
      <c r="H70" s="73"/>
      <c r="K70" s="16"/>
      <c r="S70" s="16" t="s">
        <v>0</v>
      </c>
      <c r="X70" s="47" t="s">
        <v>0</v>
      </c>
    </row>
    <row r="71" spans="1:24" ht="15">
      <c r="A71" s="74" t="s">
        <v>20</v>
      </c>
      <c r="B71" s="53" t="s">
        <v>27</v>
      </c>
      <c r="C71" s="75" t="s">
        <v>53</v>
      </c>
      <c r="D71" s="76" t="s">
        <v>14</v>
      </c>
      <c r="E71" s="77" t="s">
        <v>15</v>
      </c>
      <c r="F71" s="77" t="s">
        <v>40</v>
      </c>
      <c r="G71" s="76" t="s">
        <v>42</v>
      </c>
      <c r="H71" s="78" t="s">
        <v>16</v>
      </c>
      <c r="K71" s="16"/>
      <c r="S71" s="16" t="s">
        <v>0</v>
      </c>
      <c r="X71" s="47" t="s">
        <v>0</v>
      </c>
    </row>
    <row r="72" spans="1:24" ht="15">
      <c r="A72" s="79"/>
      <c r="B72" s="80"/>
      <c r="C72" s="81" t="s">
        <v>17</v>
      </c>
      <c r="D72" s="82" t="s">
        <v>18</v>
      </c>
      <c r="E72" s="83" t="s">
        <v>18</v>
      </c>
      <c r="F72" s="83" t="s">
        <v>41</v>
      </c>
      <c r="G72" s="82" t="s">
        <v>19</v>
      </c>
      <c r="H72" s="84" t="s">
        <v>19</v>
      </c>
      <c r="K72" s="16"/>
      <c r="S72" s="16" t="s">
        <v>0</v>
      </c>
      <c r="X72" s="47" t="s">
        <v>0</v>
      </c>
    </row>
    <row r="73" spans="1:19" ht="15">
      <c r="A73" s="85" t="s">
        <v>37</v>
      </c>
      <c r="B73" s="54"/>
      <c r="C73" s="54"/>
      <c r="D73" s="76"/>
      <c r="E73" s="76"/>
      <c r="F73" s="77"/>
      <c r="G73" s="76"/>
      <c r="H73" s="78"/>
      <c r="K73" s="16"/>
      <c r="S73" s="16" t="s">
        <v>0</v>
      </c>
    </row>
    <row r="74" spans="1:24" ht="15">
      <c r="A74" s="86"/>
      <c r="B74" s="177"/>
      <c r="C74" s="87"/>
      <c r="D74" s="97"/>
      <c r="E74" s="178"/>
      <c r="F74" s="178"/>
      <c r="G74" s="179"/>
      <c r="H74" s="180"/>
      <c r="K74" s="16"/>
      <c r="M74" s="43"/>
      <c r="S74" s="16" t="s">
        <v>0</v>
      </c>
      <c r="X74" s="47" t="s">
        <v>0</v>
      </c>
    </row>
    <row r="75" spans="1:24" ht="15">
      <c r="A75" s="86"/>
      <c r="B75" s="177" t="s">
        <v>85</v>
      </c>
      <c r="C75" s="87">
        <v>1</v>
      </c>
      <c r="D75" s="97">
        <v>0.13</v>
      </c>
      <c r="E75" s="178">
        <v>0.12</v>
      </c>
      <c r="F75" s="178">
        <v>2.57</v>
      </c>
      <c r="G75" s="179">
        <v>3.9</v>
      </c>
      <c r="H75" s="180">
        <v>8.12</v>
      </c>
      <c r="K75" s="16"/>
      <c r="M75" s="43"/>
      <c r="S75" s="16" t="s">
        <v>0</v>
      </c>
      <c r="X75" s="47" t="s">
        <v>0</v>
      </c>
    </row>
    <row r="76" spans="1:24" s="62" customFormat="1" ht="15">
      <c r="A76" s="86"/>
      <c r="B76" s="177" t="s">
        <v>86</v>
      </c>
      <c r="C76" s="87">
        <v>7</v>
      </c>
      <c r="D76" s="97">
        <v>0.23</v>
      </c>
      <c r="E76" s="178">
        <v>0.21</v>
      </c>
      <c r="F76" s="178">
        <v>4.97</v>
      </c>
      <c r="G76" s="179">
        <v>1.61</v>
      </c>
      <c r="H76" s="180">
        <v>16.31</v>
      </c>
      <c r="K76" s="64"/>
      <c r="M76" s="89"/>
      <c r="S76" s="64" t="s">
        <v>0</v>
      </c>
      <c r="X76" s="65" t="s">
        <v>0</v>
      </c>
    </row>
    <row r="77" spans="1:24" ht="15">
      <c r="A77" s="86"/>
      <c r="B77" s="177"/>
      <c r="C77" s="87"/>
      <c r="D77" s="97"/>
      <c r="E77" s="178"/>
      <c r="F77" s="178"/>
      <c r="G77" s="179"/>
      <c r="H77" s="180"/>
      <c r="K77" s="41"/>
      <c r="S77" s="16"/>
      <c r="X77" s="47" t="s">
        <v>0</v>
      </c>
    </row>
    <row r="78" spans="1:24" ht="15">
      <c r="A78" s="86"/>
      <c r="B78" s="177" t="s">
        <v>60</v>
      </c>
      <c r="C78" s="87"/>
      <c r="D78" s="97" t="s">
        <v>60</v>
      </c>
      <c r="E78" s="178">
        <v>0</v>
      </c>
      <c r="F78" s="178">
        <v>0</v>
      </c>
      <c r="G78" s="179">
        <v>0</v>
      </c>
      <c r="H78" s="180">
        <v>0</v>
      </c>
      <c r="K78" s="90"/>
      <c r="S78" s="16"/>
      <c r="X78" s="47" t="s">
        <v>0</v>
      </c>
    </row>
    <row r="79" spans="1:24" ht="15">
      <c r="A79" s="86"/>
      <c r="B79" s="177" t="s">
        <v>60</v>
      </c>
      <c r="C79" s="87"/>
      <c r="D79" s="97" t="s">
        <v>60</v>
      </c>
      <c r="E79" s="178">
        <v>0</v>
      </c>
      <c r="F79" s="178">
        <v>0</v>
      </c>
      <c r="G79" s="179">
        <v>0</v>
      </c>
      <c r="H79" s="180">
        <v>0</v>
      </c>
      <c r="K79" s="90"/>
      <c r="S79" s="16"/>
      <c r="X79" s="47" t="s">
        <v>0</v>
      </c>
    </row>
    <row r="80" spans="1:24" ht="15">
      <c r="A80" s="186">
        <v>0.25</v>
      </c>
      <c r="B80" s="53" t="s">
        <v>21</v>
      </c>
      <c r="C80" s="87"/>
      <c r="D80" s="187">
        <f>A80*SUM(D74:D79)</f>
        <v>0.09</v>
      </c>
      <c r="E80" s="92"/>
      <c r="F80" s="93"/>
      <c r="G80" s="94"/>
      <c r="H80" s="95"/>
      <c r="K80" s="90"/>
      <c r="S80" s="16"/>
      <c r="X80" s="47"/>
    </row>
    <row r="81" spans="1:24" ht="15">
      <c r="A81" s="91"/>
      <c r="B81" s="53" t="s">
        <v>36</v>
      </c>
      <c r="C81" s="87"/>
      <c r="D81" s="4">
        <f>SUM(D73:D80)</f>
        <v>0.44999999999999996</v>
      </c>
      <c r="E81" s="4">
        <f>SUM(E73:E79)</f>
        <v>0.32999999999999996</v>
      </c>
      <c r="F81" s="4">
        <f>SUM(F73:F79)</f>
        <v>7.539999999999999</v>
      </c>
      <c r="G81" s="4">
        <f>SUM(G73:G79)</f>
        <v>5.51</v>
      </c>
      <c r="H81" s="6">
        <f>SUM(H73:H79)</f>
        <v>24.43</v>
      </c>
      <c r="K81" s="238"/>
      <c r="L81" s="239"/>
      <c r="M81" s="239"/>
      <c r="N81" s="62"/>
      <c r="S81" s="16"/>
      <c r="X81" s="47"/>
    </row>
    <row r="82" spans="1:24" ht="15">
      <c r="A82" s="96" t="s">
        <v>29</v>
      </c>
      <c r="B82" s="53"/>
      <c r="C82" s="87"/>
      <c r="D82" s="97"/>
      <c r="E82" s="88"/>
      <c r="F82" s="92"/>
      <c r="G82" s="94"/>
      <c r="H82" s="95"/>
      <c r="K82" s="90"/>
      <c r="S82" s="16"/>
      <c r="X82" s="47"/>
    </row>
    <row r="83" spans="1:24" ht="15.75" customHeight="1">
      <c r="A83" s="86"/>
      <c r="B83" s="177" t="s">
        <v>87</v>
      </c>
      <c r="C83" s="87">
        <v>1</v>
      </c>
      <c r="D83" s="97">
        <v>0.36</v>
      </c>
      <c r="E83" s="178">
        <v>0.33</v>
      </c>
      <c r="F83" s="178">
        <v>7.71</v>
      </c>
      <c r="G83" s="179">
        <v>21.22</v>
      </c>
      <c r="H83" s="180">
        <v>50.83</v>
      </c>
      <c r="I83" s="22"/>
      <c r="J83" s="22"/>
      <c r="K83" s="90"/>
      <c r="R83" s="22"/>
      <c r="X83" s="47" t="s">
        <v>0</v>
      </c>
    </row>
    <row r="84" spans="1:24" ht="15.75" customHeight="1">
      <c r="A84" s="86"/>
      <c r="B84" s="177" t="s">
        <v>88</v>
      </c>
      <c r="C84" s="87">
        <v>1</v>
      </c>
      <c r="D84" s="97">
        <v>0.37</v>
      </c>
      <c r="E84" s="178">
        <v>0.34</v>
      </c>
      <c r="F84" s="178">
        <v>3.03</v>
      </c>
      <c r="G84" s="179">
        <v>2.7</v>
      </c>
      <c r="H84" s="180">
        <v>6.96</v>
      </c>
      <c r="I84" s="22"/>
      <c r="J84" s="22"/>
      <c r="K84" s="90"/>
      <c r="R84" s="22"/>
      <c r="X84" s="47" t="s">
        <v>0</v>
      </c>
    </row>
    <row r="85" spans="1:24" ht="15.75" customHeight="1">
      <c r="A85" s="86"/>
      <c r="B85" s="177" t="s">
        <v>89</v>
      </c>
      <c r="C85" s="87">
        <v>1</v>
      </c>
      <c r="D85" s="97">
        <v>0.12</v>
      </c>
      <c r="E85" s="178">
        <v>0.11</v>
      </c>
      <c r="F85" s="178">
        <v>1.31</v>
      </c>
      <c r="G85" s="179">
        <v>1.62</v>
      </c>
      <c r="H85" s="180">
        <v>2.59</v>
      </c>
      <c r="I85" s="22"/>
      <c r="J85" s="22"/>
      <c r="K85" s="90"/>
      <c r="R85" s="22"/>
      <c r="X85" s="47" t="s">
        <v>0</v>
      </c>
    </row>
    <row r="86" spans="1:24" ht="15.75" customHeight="1">
      <c r="A86" s="86"/>
      <c r="B86" s="177" t="s">
        <v>90</v>
      </c>
      <c r="C86" s="87">
        <v>1</v>
      </c>
      <c r="D86" s="97">
        <v>0.15</v>
      </c>
      <c r="E86" s="178">
        <v>0.14</v>
      </c>
      <c r="F86" s="178">
        <v>2</v>
      </c>
      <c r="G86" s="179">
        <v>2.91</v>
      </c>
      <c r="H86" s="180">
        <v>5.31</v>
      </c>
      <c r="I86" s="22"/>
      <c r="J86" s="22"/>
      <c r="K86" s="90"/>
      <c r="R86" s="22"/>
      <c r="X86" s="47" t="s">
        <v>0</v>
      </c>
    </row>
    <row r="87" spans="1:24" ht="15.75" customHeight="1">
      <c r="A87" s="86"/>
      <c r="B87" s="177" t="s">
        <v>60</v>
      </c>
      <c r="C87" s="87"/>
      <c r="D87" s="97" t="s">
        <v>60</v>
      </c>
      <c r="E87" s="178">
        <v>0</v>
      </c>
      <c r="F87" s="178">
        <v>0</v>
      </c>
      <c r="G87" s="179">
        <v>0</v>
      </c>
      <c r="H87" s="180">
        <v>0</v>
      </c>
      <c r="I87" s="22"/>
      <c r="J87" s="22"/>
      <c r="K87" s="90"/>
      <c r="R87" s="22"/>
      <c r="X87" s="47"/>
    </row>
    <row r="88" spans="1:24" ht="15.75" customHeight="1">
      <c r="A88" s="186">
        <v>0.25</v>
      </c>
      <c r="B88" s="53" t="s">
        <v>21</v>
      </c>
      <c r="C88" s="87"/>
      <c r="D88" s="187">
        <f>A88*SUM(D83:D87)</f>
        <v>0.25</v>
      </c>
      <c r="E88" s="88"/>
      <c r="F88" s="92"/>
      <c r="G88" s="94"/>
      <c r="H88" s="95"/>
      <c r="I88" s="22"/>
      <c r="J88" s="22"/>
      <c r="K88" s="90"/>
      <c r="R88" s="22"/>
      <c r="X88" s="47"/>
    </row>
    <row r="89" spans="1:24" ht="15">
      <c r="A89" s="98"/>
      <c r="B89" s="53" t="s">
        <v>38</v>
      </c>
      <c r="C89" s="54"/>
      <c r="D89" s="7">
        <f>SUM(D83:D88)</f>
        <v>1.25</v>
      </c>
      <c r="E89" s="7">
        <f>SUM(E83:E88)</f>
        <v>0.92</v>
      </c>
      <c r="F89" s="7">
        <f>SUM(F83:F88)</f>
        <v>14.05</v>
      </c>
      <c r="G89" s="7">
        <f>SUM(G83:G88)</f>
        <v>28.45</v>
      </c>
      <c r="H89" s="8">
        <f>SUM(H83:H88)</f>
        <v>65.69</v>
      </c>
      <c r="I89" s="22"/>
      <c r="J89" s="22"/>
      <c r="K89" s="90"/>
      <c r="R89" s="22"/>
      <c r="X89" s="47" t="s">
        <v>0</v>
      </c>
    </row>
    <row r="90" spans="1:8" ht="15.75" thickBot="1">
      <c r="A90" s="99"/>
      <c r="B90" s="100"/>
      <c r="C90" s="100"/>
      <c r="D90" s="101"/>
      <c r="E90" s="101"/>
      <c r="F90" s="102"/>
      <c r="G90" s="101"/>
      <c r="H90" s="103"/>
    </row>
    <row r="91" spans="6:17" ht="15">
      <c r="F91" s="231">
        <v>2.35</v>
      </c>
      <c r="G91" s="62" t="s">
        <v>137</v>
      </c>
      <c r="M91" s="16"/>
      <c r="N91" s="90"/>
      <c r="O91" s="90"/>
      <c r="P91" s="90"/>
      <c r="Q91" s="90"/>
    </row>
    <row r="92" spans="1:24" ht="15.75" thickBot="1">
      <c r="A92" s="90"/>
      <c r="M92" s="16"/>
      <c r="X92" s="47" t="s">
        <v>0</v>
      </c>
    </row>
    <row r="93" spans="1:8" ht="16.5" thickBot="1">
      <c r="A93" s="129"/>
      <c r="B93" s="130" t="s">
        <v>45</v>
      </c>
      <c r="C93" s="130"/>
      <c r="D93" s="130"/>
      <c r="E93" s="130"/>
      <c r="F93" s="131"/>
      <c r="G93" s="132"/>
      <c r="H93" s="133"/>
    </row>
    <row r="94" spans="1:12" ht="15.75">
      <c r="A94" s="134" t="s">
        <v>8</v>
      </c>
      <c r="B94" s="135"/>
      <c r="C94" s="136" t="s">
        <v>139</v>
      </c>
      <c r="D94" s="9"/>
      <c r="E94" s="137"/>
      <c r="F94" s="138"/>
      <c r="G94" s="9"/>
      <c r="H94" s="139"/>
      <c r="L94" s="16"/>
    </row>
    <row r="95" spans="1:19" ht="15.75" thickBot="1">
      <c r="A95" s="134" t="s">
        <v>22</v>
      </c>
      <c r="B95" s="7" t="s">
        <v>43</v>
      </c>
      <c r="C95" s="9"/>
      <c r="D95" s="9"/>
      <c r="E95" s="9"/>
      <c r="F95" s="138"/>
      <c r="G95" s="9"/>
      <c r="H95" s="139"/>
      <c r="K95" s="16"/>
      <c r="S95" s="16" t="s">
        <v>0</v>
      </c>
    </row>
    <row r="96" spans="1:19" ht="15">
      <c r="A96" s="140" t="s">
        <v>140</v>
      </c>
      <c r="B96" s="141" t="s">
        <v>44</v>
      </c>
      <c r="C96" s="142"/>
      <c r="D96" s="143">
        <f>ROUND(F96*(1-(2*$A$109)),2)</f>
        <v>0.5</v>
      </c>
      <c r="E96" s="144">
        <f>ROUND(F96*(1-($A$109)),2)</f>
        <v>0.56</v>
      </c>
      <c r="F96" s="144">
        <f>F10</f>
        <v>0.62</v>
      </c>
      <c r="G96" s="144">
        <f>ROUND(F96*(1+(1*$A$109)),2)</f>
        <v>0.68</v>
      </c>
      <c r="H96" s="145">
        <f>ROUND(F96*(1+(2*$A$109)),2)</f>
        <v>0.74</v>
      </c>
      <c r="K96" s="16"/>
      <c r="S96" s="16" t="s">
        <v>0</v>
      </c>
    </row>
    <row r="97" spans="1:24" ht="15">
      <c r="A97" s="146"/>
      <c r="B97" s="147"/>
      <c r="C97" s="148"/>
      <c r="D97" s="149"/>
      <c r="E97" s="150"/>
      <c r="F97" s="151"/>
      <c r="G97" s="150"/>
      <c r="H97" s="152"/>
      <c r="K97" s="16"/>
      <c r="S97" s="16" t="s">
        <v>0</v>
      </c>
      <c r="X97" s="47" t="s">
        <v>0</v>
      </c>
    </row>
    <row r="98" spans="1:19" ht="15">
      <c r="A98" s="153">
        <f>ROUND(A102*(1-(2*$A$109)),0)</f>
        <v>600</v>
      </c>
      <c r="B98" s="5">
        <f>($G$50-$G$46)+($A98*$F$46)-($G$20+$G$21)+(($A98/$A$102)*($G$20+$G$21))</f>
        <v>353.438</v>
      </c>
      <c r="C98" s="154"/>
      <c r="D98" s="155">
        <f>(($A98*D$96)-$B98)+(($A98/$A$102)*$G$11)</f>
        <v>-8.885999999999989</v>
      </c>
      <c r="E98" s="155">
        <f aca="true" t="shared" si="2" ref="E98:H106">(($A98*E$96)-$B98)+(($A98/$A$102)*$G$11)</f>
        <v>27.11400000000007</v>
      </c>
      <c r="F98" s="155">
        <f t="shared" si="2"/>
        <v>63.11400000000001</v>
      </c>
      <c r="G98" s="155">
        <f t="shared" si="2"/>
        <v>99.11400000000006</v>
      </c>
      <c r="H98" s="235">
        <f t="shared" si="2"/>
        <v>135.114</v>
      </c>
      <c r="S98" s="16" t="s">
        <v>0</v>
      </c>
    </row>
    <row r="99" spans="1:24" ht="15">
      <c r="A99" s="153" t="s">
        <v>0</v>
      </c>
      <c r="B99" s="157"/>
      <c r="C99" s="158"/>
      <c r="D99" s="159"/>
      <c r="E99" s="159"/>
      <c r="F99" s="160"/>
      <c r="G99" s="159"/>
      <c r="H99" s="156"/>
      <c r="K99" s="16"/>
      <c r="L99" s="22"/>
      <c r="S99" s="16" t="s">
        <v>0</v>
      </c>
      <c r="X99" s="47" t="s">
        <v>0</v>
      </c>
    </row>
    <row r="100" spans="1:24" ht="15">
      <c r="A100" s="153">
        <f>ROUND(A102*(1-($A$109)),0)</f>
        <v>675</v>
      </c>
      <c r="B100" s="5">
        <f>($G$50-$G$46)+($A100*$F$46)-($G$20+$G$21)+(($A100/$A$102)*($G$20+$G$21))</f>
        <v>362.344</v>
      </c>
      <c r="C100" s="154"/>
      <c r="D100" s="155">
        <f>(($A100*D$96)-$B100)+(($A100/$A$102)*$G$11)</f>
        <v>25.277000000000008</v>
      </c>
      <c r="E100" s="155">
        <f t="shared" si="2"/>
        <v>65.77700000000007</v>
      </c>
      <c r="F100" s="155">
        <f t="shared" si="2"/>
        <v>106.27700000000002</v>
      </c>
      <c r="G100" s="155">
        <f t="shared" si="2"/>
        <v>146.77700000000007</v>
      </c>
      <c r="H100" s="235">
        <f t="shared" si="2"/>
        <v>187.27700000000002</v>
      </c>
      <c r="K100" s="16"/>
      <c r="L100" s="22"/>
      <c r="S100" s="16" t="s">
        <v>0</v>
      </c>
      <c r="X100" s="47" t="s">
        <v>0</v>
      </c>
    </row>
    <row r="101" spans="1:24" ht="15">
      <c r="A101" s="153" t="s">
        <v>0</v>
      </c>
      <c r="B101" s="157"/>
      <c r="C101" s="158"/>
      <c r="D101" s="159"/>
      <c r="E101" s="159"/>
      <c r="F101" s="160"/>
      <c r="G101" s="159"/>
      <c r="H101" s="156"/>
      <c r="K101" s="16"/>
      <c r="L101" s="22"/>
      <c r="S101" s="16" t="s">
        <v>0</v>
      </c>
      <c r="X101" s="47" t="s">
        <v>0</v>
      </c>
    </row>
    <row r="102" spans="1:24" ht="15">
      <c r="A102" s="153">
        <f>E10</f>
        <v>750</v>
      </c>
      <c r="B102" s="5">
        <f>($G$50-$G$46)+($A102*$F$46)-($G$20+$G$21)+(($A102/$A$102)*($G$20+$G$21))</f>
        <v>371.25</v>
      </c>
      <c r="C102" s="154"/>
      <c r="D102" s="155">
        <f>(($A102*D$96)-$B102)+(($A102/$A$102)*$G$11)</f>
        <v>59.44</v>
      </c>
      <c r="E102" s="155">
        <f t="shared" si="2"/>
        <v>104.44000000000005</v>
      </c>
      <c r="F102" s="155">
        <f t="shared" si="2"/>
        <v>149.44</v>
      </c>
      <c r="G102" s="155">
        <f t="shared" si="2"/>
        <v>194.44000000000005</v>
      </c>
      <c r="H102" s="235">
        <f t="shared" si="2"/>
        <v>239.44</v>
      </c>
      <c r="K102" s="16"/>
      <c r="L102" s="22"/>
      <c r="S102" s="16" t="s">
        <v>0</v>
      </c>
      <c r="X102" s="47" t="s">
        <v>0</v>
      </c>
    </row>
    <row r="103" spans="1:19" ht="15">
      <c r="A103" s="153" t="s">
        <v>0</v>
      </c>
      <c r="B103" s="157"/>
      <c r="C103" s="158"/>
      <c r="D103" s="159"/>
      <c r="E103" s="159"/>
      <c r="F103" s="160"/>
      <c r="G103" s="159"/>
      <c r="H103" s="156"/>
      <c r="K103" s="16"/>
      <c r="L103" s="22"/>
      <c r="S103" s="16" t="s">
        <v>0</v>
      </c>
    </row>
    <row r="104" spans="1:24" ht="15">
      <c r="A104" s="153">
        <f>ROUND(A102*(1+(1*$A$109)),0)</f>
        <v>825</v>
      </c>
      <c r="B104" s="5">
        <f>($G$50-$G$46)+($A104*$F$46)-($G$20+$G$21)+(($A104/$A$102)*($G$20+$G$21))</f>
        <v>380.156</v>
      </c>
      <c r="C104" s="154"/>
      <c r="D104" s="155">
        <f>(($A104*D$96)-$B104)+(($A104/$A$102)*$G$11)</f>
        <v>93.603</v>
      </c>
      <c r="E104" s="155">
        <f t="shared" si="2"/>
        <v>143.10300000000007</v>
      </c>
      <c r="F104" s="155">
        <f t="shared" si="2"/>
        <v>192.603</v>
      </c>
      <c r="G104" s="155">
        <f t="shared" si="2"/>
        <v>242.103</v>
      </c>
      <c r="H104" s="235">
        <f t="shared" si="2"/>
        <v>291.603</v>
      </c>
      <c r="K104" s="16"/>
      <c r="L104" s="22"/>
      <c r="S104" s="16" t="s">
        <v>0</v>
      </c>
      <c r="X104" s="47" t="s">
        <v>0</v>
      </c>
    </row>
    <row r="105" spans="1:19" ht="15">
      <c r="A105" s="161"/>
      <c r="B105" s="157"/>
      <c r="C105" s="158"/>
      <c r="D105" s="159"/>
      <c r="E105" s="159"/>
      <c r="F105" s="160"/>
      <c r="G105" s="159"/>
      <c r="H105" s="156"/>
      <c r="K105" s="16"/>
      <c r="L105" s="22"/>
      <c r="S105" s="16" t="s">
        <v>0</v>
      </c>
    </row>
    <row r="106" spans="1:24" ht="15">
      <c r="A106" s="153">
        <f>ROUND(A102*(1+(2*$A$109)),0)</f>
        <v>900</v>
      </c>
      <c r="B106" s="5">
        <f>($G$50-$G$46)+($A106*$F$46)-($G$20+$G$21)+(($A106/$A$102)*($G$20+$G$21))</f>
        <v>389.062</v>
      </c>
      <c r="C106" s="154"/>
      <c r="D106" s="155">
        <f>(($A106*D$96)-$B106)+(($A106/$A$102)*$G$11)</f>
        <v>127.76599999999998</v>
      </c>
      <c r="E106" s="155">
        <f t="shared" si="2"/>
        <v>181.76600000000002</v>
      </c>
      <c r="F106" s="155">
        <f t="shared" si="2"/>
        <v>235.76599999999996</v>
      </c>
      <c r="G106" s="155">
        <f t="shared" si="2"/>
        <v>289.76599999999996</v>
      </c>
      <c r="H106" s="235">
        <f t="shared" si="2"/>
        <v>343.76599999999996</v>
      </c>
      <c r="K106" s="16"/>
      <c r="S106" s="16" t="s">
        <v>0</v>
      </c>
      <c r="X106" s="47" t="s">
        <v>0</v>
      </c>
    </row>
    <row r="107" spans="1:19" ht="15.75" thickBot="1">
      <c r="A107" s="162"/>
      <c r="B107" s="163"/>
      <c r="C107" s="164"/>
      <c r="D107" s="164"/>
      <c r="E107" s="164"/>
      <c r="F107" s="165"/>
      <c r="G107" s="164"/>
      <c r="H107" s="166"/>
      <c r="K107" s="16"/>
      <c r="L107" s="22"/>
      <c r="S107" s="16" t="s">
        <v>0</v>
      </c>
    </row>
    <row r="108" spans="1:24" ht="15">
      <c r="A108" s="90"/>
      <c r="K108" s="16"/>
      <c r="S108" s="16" t="s">
        <v>0</v>
      </c>
      <c r="X108" s="47" t="s">
        <v>0</v>
      </c>
    </row>
    <row r="109" spans="1:19" ht="15.75">
      <c r="A109" s="104">
        <v>0.1</v>
      </c>
      <c r="B109" s="10" t="s">
        <v>55</v>
      </c>
      <c r="K109" s="16"/>
      <c r="L109" s="22"/>
      <c r="S109" s="16" t="s">
        <v>0</v>
      </c>
    </row>
    <row r="110" spans="1:24" s="62" customFormat="1" ht="15.75" thickBot="1">
      <c r="A110" s="90"/>
      <c r="F110" s="63"/>
      <c r="K110" s="64"/>
      <c r="S110" s="64" t="s">
        <v>0</v>
      </c>
      <c r="X110" s="65" t="s">
        <v>0</v>
      </c>
    </row>
    <row r="111" spans="1:19" s="62" customFormat="1" ht="16.5" thickBot="1">
      <c r="A111" s="105"/>
      <c r="B111" s="106" t="s">
        <v>48</v>
      </c>
      <c r="C111" s="106"/>
      <c r="D111" s="200"/>
      <c r="E111" s="200"/>
      <c r="F111" s="201"/>
      <c r="G111" s="200"/>
      <c r="H111" s="202"/>
      <c r="K111" s="64"/>
      <c r="S111" s="64" t="s">
        <v>0</v>
      </c>
    </row>
    <row r="112" spans="1:24" s="62" customFormat="1" ht="15">
      <c r="A112" s="105"/>
      <c r="B112" s="200"/>
      <c r="C112" s="200"/>
      <c r="D112" s="200"/>
      <c r="E112" s="203"/>
      <c r="F112" s="204" t="s">
        <v>1</v>
      </c>
      <c r="G112" s="203" t="s">
        <v>2</v>
      </c>
      <c r="H112" s="205" t="s">
        <v>78</v>
      </c>
      <c r="K112" s="64"/>
      <c r="S112" s="64" t="s">
        <v>0</v>
      </c>
      <c r="X112" s="65" t="s">
        <v>0</v>
      </c>
    </row>
    <row r="113" spans="1:24" s="62" customFormat="1" ht="15">
      <c r="A113" s="206" t="s">
        <v>39</v>
      </c>
      <c r="B113" s="80" t="s">
        <v>52</v>
      </c>
      <c r="C113" s="80"/>
      <c r="D113" s="207" t="s">
        <v>4</v>
      </c>
      <c r="E113" s="82" t="s">
        <v>5</v>
      </c>
      <c r="F113" s="83" t="s">
        <v>6</v>
      </c>
      <c r="G113" s="82" t="s">
        <v>7</v>
      </c>
      <c r="H113" s="84" t="s">
        <v>79</v>
      </c>
      <c r="K113" s="64"/>
      <c r="S113" s="64"/>
      <c r="X113" s="65"/>
    </row>
    <row r="114" spans="1:24" s="62" customFormat="1" ht="15">
      <c r="A114" s="189"/>
      <c r="B114" s="167" t="s">
        <v>60</v>
      </c>
      <c r="C114" s="168"/>
      <c r="D114" s="169" t="s">
        <v>60</v>
      </c>
      <c r="E114" s="170"/>
      <c r="F114" s="1" t="s">
        <v>60</v>
      </c>
      <c r="G114" s="208" t="str">
        <f aca="true" t="shared" si="3" ref="G114:G120">IF(E114=0," ",ROUND((E114*F114),2))</f>
        <v> </v>
      </c>
      <c r="H114" s="171"/>
      <c r="K114" s="209"/>
      <c r="L114" s="210"/>
      <c r="M114" s="210"/>
      <c r="N114" s="210"/>
      <c r="S114" s="64"/>
      <c r="X114" s="65"/>
    </row>
    <row r="115" spans="1:24" s="62" customFormat="1" ht="15">
      <c r="A115" s="189" t="s">
        <v>80</v>
      </c>
      <c r="B115" s="168" t="s">
        <v>103</v>
      </c>
      <c r="C115" s="168"/>
      <c r="D115" s="169" t="s">
        <v>82</v>
      </c>
      <c r="E115" s="170">
        <v>5</v>
      </c>
      <c r="F115" s="1">
        <v>3.14</v>
      </c>
      <c r="G115" s="208">
        <f t="shared" si="3"/>
        <v>15.7</v>
      </c>
      <c r="H115" s="171" t="s">
        <v>58</v>
      </c>
      <c r="K115" s="209"/>
      <c r="L115" s="210"/>
      <c r="M115" s="210"/>
      <c r="N115" s="210"/>
      <c r="S115" s="64"/>
      <c r="X115" s="65"/>
    </row>
    <row r="116" spans="1:24" s="62" customFormat="1" ht="15">
      <c r="A116" s="189" t="s">
        <v>61</v>
      </c>
      <c r="B116" s="168" t="s">
        <v>138</v>
      </c>
      <c r="C116" s="168"/>
      <c r="D116" s="169" t="s">
        <v>23</v>
      </c>
      <c r="E116" s="170">
        <v>1</v>
      </c>
      <c r="F116" s="1">
        <v>1.76</v>
      </c>
      <c r="G116" s="208">
        <f t="shared" si="3"/>
        <v>1.76</v>
      </c>
      <c r="H116" s="171" t="s">
        <v>58</v>
      </c>
      <c r="K116" s="209"/>
      <c r="L116" s="210"/>
      <c r="M116" s="210"/>
      <c r="N116" s="210"/>
      <c r="S116" s="64"/>
      <c r="X116" s="65"/>
    </row>
    <row r="117" spans="1:24" s="62" customFormat="1" ht="15">
      <c r="A117" s="189" t="s">
        <v>61</v>
      </c>
      <c r="B117" s="168" t="s">
        <v>104</v>
      </c>
      <c r="C117" s="168"/>
      <c r="D117" s="169" t="s">
        <v>24</v>
      </c>
      <c r="E117" s="170">
        <v>1</v>
      </c>
      <c r="F117" s="1">
        <v>5.19</v>
      </c>
      <c r="G117" s="208">
        <f t="shared" si="3"/>
        <v>5.19</v>
      </c>
      <c r="H117" s="171" t="s">
        <v>58</v>
      </c>
      <c r="K117" s="209"/>
      <c r="L117" s="210"/>
      <c r="M117" s="210"/>
      <c r="N117" s="210"/>
      <c r="S117" s="64"/>
      <c r="X117" s="65"/>
    </row>
    <row r="118" spans="1:24" s="62" customFormat="1" ht="15">
      <c r="A118" s="189" t="s">
        <v>61</v>
      </c>
      <c r="B118" s="168" t="s">
        <v>104</v>
      </c>
      <c r="C118" s="168"/>
      <c r="D118" s="169" t="s">
        <v>24</v>
      </c>
      <c r="E118" s="170">
        <v>1</v>
      </c>
      <c r="F118" s="1">
        <v>5.19</v>
      </c>
      <c r="G118" s="208">
        <f t="shared" si="3"/>
        <v>5.19</v>
      </c>
      <c r="H118" s="171" t="s">
        <v>105</v>
      </c>
      <c r="K118" s="209"/>
      <c r="L118" s="210"/>
      <c r="M118" s="210"/>
      <c r="N118" s="210"/>
      <c r="S118" s="64"/>
      <c r="X118" s="65"/>
    </row>
    <row r="119" spans="1:24" s="62" customFormat="1" ht="15">
      <c r="A119" s="189" t="s">
        <v>61</v>
      </c>
      <c r="B119" s="168" t="s">
        <v>104</v>
      </c>
      <c r="C119" s="168"/>
      <c r="D119" s="169" t="s">
        <v>24</v>
      </c>
      <c r="E119" s="170">
        <v>1</v>
      </c>
      <c r="F119" s="1">
        <v>5.19</v>
      </c>
      <c r="G119" s="208">
        <f t="shared" si="3"/>
        <v>5.19</v>
      </c>
      <c r="H119" s="171" t="s">
        <v>106</v>
      </c>
      <c r="K119" s="209"/>
      <c r="L119" s="210"/>
      <c r="M119" s="210"/>
      <c r="N119" s="210"/>
      <c r="S119" s="64"/>
      <c r="X119" s="65"/>
    </row>
    <row r="120" spans="1:24" s="62" customFormat="1" ht="15">
      <c r="A120" s="189"/>
      <c r="B120" s="168"/>
      <c r="C120" s="168"/>
      <c r="D120" s="169"/>
      <c r="E120" s="170"/>
      <c r="F120" s="1"/>
      <c r="G120" s="208" t="str">
        <f t="shared" si="3"/>
        <v> </v>
      </c>
      <c r="H120" s="171"/>
      <c r="K120" s="209"/>
      <c r="L120" s="210"/>
      <c r="M120" s="210"/>
      <c r="N120" s="210"/>
      <c r="S120" s="64"/>
      <c r="X120" s="65"/>
    </row>
    <row r="121" spans="1:24" s="62" customFormat="1" ht="15">
      <c r="A121" s="189" t="s">
        <v>63</v>
      </c>
      <c r="B121" s="168" t="s">
        <v>141</v>
      </c>
      <c r="C121" s="168"/>
      <c r="D121" s="169" t="s">
        <v>82</v>
      </c>
      <c r="E121" s="170">
        <v>0.75</v>
      </c>
      <c r="F121" s="1">
        <v>12.5</v>
      </c>
      <c r="G121" s="208">
        <f aca="true" t="shared" si="4" ref="G121:G126">IF(E121=0," ",ROUND((E121*F121),2))</f>
        <v>9.38</v>
      </c>
      <c r="H121" s="171" t="s">
        <v>107</v>
      </c>
      <c r="K121" s="209"/>
      <c r="L121" s="210"/>
      <c r="M121" s="210"/>
      <c r="N121" s="210"/>
      <c r="S121" s="64"/>
      <c r="X121" s="65"/>
    </row>
    <row r="122" spans="1:24" s="62" customFormat="1" ht="15">
      <c r="A122" s="189" t="s">
        <v>83</v>
      </c>
      <c r="B122" s="168" t="s">
        <v>108</v>
      </c>
      <c r="C122" s="168"/>
      <c r="D122" s="169" t="s">
        <v>81</v>
      </c>
      <c r="E122" s="170">
        <v>16</v>
      </c>
      <c r="F122" s="1">
        <v>0.43</v>
      </c>
      <c r="G122" s="208">
        <f t="shared" si="4"/>
        <v>6.88</v>
      </c>
      <c r="H122" s="171" t="s">
        <v>109</v>
      </c>
      <c r="K122" s="209"/>
      <c r="L122" s="210"/>
      <c r="M122" s="210"/>
      <c r="N122" s="210"/>
      <c r="S122" s="64"/>
      <c r="X122" s="65"/>
    </row>
    <row r="123" spans="1:24" s="62" customFormat="1" ht="15">
      <c r="A123" s="189" t="s">
        <v>83</v>
      </c>
      <c r="B123" s="168" t="s">
        <v>145</v>
      </c>
      <c r="C123" s="168"/>
      <c r="D123" s="169" t="s">
        <v>23</v>
      </c>
      <c r="E123" s="170">
        <v>1.5</v>
      </c>
      <c r="F123" s="1">
        <v>7.82</v>
      </c>
      <c r="G123" s="208">
        <f t="shared" si="4"/>
        <v>11.73</v>
      </c>
      <c r="H123" s="171" t="s">
        <v>110</v>
      </c>
      <c r="K123" s="209"/>
      <c r="L123" s="210"/>
      <c r="M123" s="210"/>
      <c r="N123" s="210"/>
      <c r="S123" s="64"/>
      <c r="X123" s="65"/>
    </row>
    <row r="124" spans="1:24" s="62" customFormat="1" ht="15">
      <c r="A124" s="189" t="s">
        <v>95</v>
      </c>
      <c r="B124" s="168" t="s">
        <v>111</v>
      </c>
      <c r="C124" s="168"/>
      <c r="D124" s="169" t="s">
        <v>23</v>
      </c>
      <c r="E124" s="170">
        <v>1</v>
      </c>
      <c r="F124" s="1">
        <v>5</v>
      </c>
      <c r="G124" s="208">
        <f t="shared" si="4"/>
        <v>5</v>
      </c>
      <c r="H124" s="171" t="s">
        <v>110</v>
      </c>
      <c r="K124" s="209"/>
      <c r="L124" s="210"/>
      <c r="M124" s="210"/>
      <c r="N124" s="210"/>
      <c r="S124" s="64" t="s">
        <v>0</v>
      </c>
      <c r="X124" s="65" t="s">
        <v>0</v>
      </c>
    </row>
    <row r="125" spans="1:24" s="62" customFormat="1" ht="15">
      <c r="A125" s="189"/>
      <c r="B125" s="167"/>
      <c r="C125" s="168"/>
      <c r="D125" s="169"/>
      <c r="E125" s="170"/>
      <c r="F125" s="1"/>
      <c r="G125" s="208" t="str">
        <f t="shared" si="4"/>
        <v> </v>
      </c>
      <c r="H125" s="171"/>
      <c r="K125" s="209"/>
      <c r="L125" s="210"/>
      <c r="M125" s="210"/>
      <c r="N125" s="210"/>
      <c r="S125" s="64" t="s">
        <v>0</v>
      </c>
      <c r="X125" s="65" t="s">
        <v>0</v>
      </c>
    </row>
    <row r="126" spans="1:24" s="62" customFormat="1" ht="15">
      <c r="A126" s="190"/>
      <c r="B126" s="172"/>
      <c r="C126" s="173"/>
      <c r="D126" s="173"/>
      <c r="E126" s="174"/>
      <c r="F126" s="175"/>
      <c r="G126" s="211" t="str">
        <f t="shared" si="4"/>
        <v> </v>
      </c>
      <c r="H126" s="176"/>
      <c r="K126" s="209"/>
      <c r="L126" s="210"/>
      <c r="M126" s="210"/>
      <c r="N126" s="210"/>
      <c r="S126" s="64" t="s">
        <v>0</v>
      </c>
      <c r="X126" s="65" t="s">
        <v>0</v>
      </c>
    </row>
    <row r="127" spans="1:24" s="62" customFormat="1" ht="15.75">
      <c r="A127" s="212" t="s">
        <v>62</v>
      </c>
      <c r="B127" s="236" t="s">
        <v>84</v>
      </c>
      <c r="C127" s="213"/>
      <c r="D127" s="213"/>
      <c r="E127" s="214"/>
      <c r="F127" s="215"/>
      <c r="G127" s="215"/>
      <c r="H127" s="216"/>
      <c r="K127" s="209"/>
      <c r="L127" s="210"/>
      <c r="M127" s="210"/>
      <c r="N127" s="210"/>
      <c r="S127" s="64" t="s">
        <v>0</v>
      </c>
      <c r="X127" s="65" t="s">
        <v>0</v>
      </c>
    </row>
    <row r="128" spans="1:24" s="62" customFormat="1" ht="15.75" thickBot="1">
      <c r="A128" s="107"/>
      <c r="B128" s="217"/>
      <c r="C128" s="218"/>
      <c r="D128" s="218"/>
      <c r="E128" s="218"/>
      <c r="F128" s="219"/>
      <c r="G128" s="218"/>
      <c r="H128" s="108"/>
      <c r="K128" s="64"/>
      <c r="S128" s="64" t="s">
        <v>0</v>
      </c>
      <c r="X128" s="65" t="s">
        <v>0</v>
      </c>
    </row>
    <row r="129" spans="1:24" s="62" customFormat="1" ht="15">
      <c r="A129" s="109"/>
      <c r="E129" s="90"/>
      <c r="F129" s="110"/>
      <c r="G129" s="90"/>
      <c r="H129" s="90"/>
      <c r="K129" s="64"/>
      <c r="S129" s="64" t="s">
        <v>0</v>
      </c>
      <c r="X129" s="65" t="s">
        <v>0</v>
      </c>
    </row>
    <row r="130" spans="1:24" s="62" customFormat="1" ht="15" customHeight="1">
      <c r="A130" s="242" t="s">
        <v>51</v>
      </c>
      <c r="B130" s="243"/>
      <c r="C130" s="243"/>
      <c r="D130" s="243"/>
      <c r="E130" s="243"/>
      <c r="F130" s="243"/>
      <c r="G130" s="243"/>
      <c r="H130" s="243"/>
      <c r="K130" s="64"/>
      <c r="S130" s="64"/>
      <c r="X130" s="65"/>
    </row>
    <row r="131" spans="1:24" s="62" customFormat="1" ht="15" customHeight="1">
      <c r="A131" s="242" t="s">
        <v>50</v>
      </c>
      <c r="B131" s="243"/>
      <c r="C131" s="243"/>
      <c r="D131" s="243"/>
      <c r="E131" s="243"/>
      <c r="F131" s="243"/>
      <c r="G131" s="243"/>
      <c r="H131" s="243"/>
      <c r="K131" s="64"/>
      <c r="S131" s="64"/>
      <c r="X131" s="65"/>
    </row>
    <row r="132" spans="5:24" s="62" customFormat="1" ht="15" customHeight="1">
      <c r="E132" s="111"/>
      <c r="F132" s="63"/>
      <c r="H132" s="90"/>
      <c r="K132" s="64"/>
      <c r="S132" s="64"/>
      <c r="X132" s="65"/>
    </row>
    <row r="133" spans="5:24" ht="15" customHeight="1">
      <c r="E133" s="111"/>
      <c r="H133" s="90"/>
      <c r="K133" s="16"/>
      <c r="L133" s="22"/>
      <c r="S133" s="16"/>
      <c r="X133" s="47"/>
    </row>
    <row r="134" spans="5:24" ht="15" customHeight="1">
      <c r="E134" s="111"/>
      <c r="H134" s="90"/>
      <c r="K134" s="16"/>
      <c r="L134" s="22"/>
      <c r="S134" s="16"/>
      <c r="X134" s="47"/>
    </row>
    <row r="135" spans="5:24" ht="15" customHeight="1">
      <c r="E135" s="111"/>
      <c r="H135" s="90"/>
      <c r="K135" s="16"/>
      <c r="L135" s="22"/>
      <c r="S135" s="16"/>
      <c r="X135" s="47"/>
    </row>
    <row r="136" spans="5:24" ht="15" customHeight="1">
      <c r="E136" s="111"/>
      <c r="H136" s="90"/>
      <c r="K136" s="16"/>
      <c r="L136" s="22"/>
      <c r="S136" s="16"/>
      <c r="X136" s="47"/>
    </row>
    <row r="137" spans="5:24" ht="15" customHeight="1">
      <c r="E137" s="111"/>
      <c r="H137" s="90"/>
      <c r="K137" s="16"/>
      <c r="L137" s="22"/>
      <c r="S137" s="16"/>
      <c r="X137" s="47"/>
    </row>
    <row r="138" spans="5:24" ht="15" customHeight="1">
      <c r="E138" s="111"/>
      <c r="H138" s="90"/>
      <c r="K138" s="16"/>
      <c r="L138" s="22"/>
      <c r="S138" s="16"/>
      <c r="X138" s="47"/>
    </row>
    <row r="139" spans="1:24" ht="15" customHeight="1">
      <c r="A139" s="90"/>
      <c r="E139" s="90"/>
      <c r="F139" s="110"/>
      <c r="G139" s="90"/>
      <c r="K139" s="16"/>
      <c r="L139" s="22"/>
      <c r="S139" s="16" t="s">
        <v>0</v>
      </c>
      <c r="X139" s="47" t="s">
        <v>0</v>
      </c>
    </row>
    <row r="140" spans="1:24" ht="15" customHeight="1">
      <c r="A140" s="90"/>
      <c r="B140" s="90"/>
      <c r="C140" s="90"/>
      <c r="D140" s="90"/>
      <c r="E140" s="90"/>
      <c r="F140" s="112"/>
      <c r="G140" s="90"/>
      <c r="H140" s="90"/>
      <c r="K140" s="16"/>
      <c r="S140" s="16" t="s">
        <v>0</v>
      </c>
      <c r="X140" s="47" t="s">
        <v>0</v>
      </c>
    </row>
    <row r="141" ht="15"/>
    <row r="142" ht="15"/>
    <row r="143" ht="15">
      <c r="F143" s="113"/>
    </row>
    <row r="144" spans="2:6" ht="15">
      <c r="B144" s="22"/>
      <c r="C144" s="22"/>
      <c r="D144" s="22"/>
      <c r="E144" s="22"/>
      <c r="F144" s="113"/>
    </row>
    <row r="145" spans="2:6" ht="15">
      <c r="B145" s="22"/>
      <c r="C145" s="22"/>
      <c r="D145" s="22"/>
      <c r="E145" s="22"/>
      <c r="F145" s="113"/>
    </row>
    <row r="146" spans="2:6" ht="15">
      <c r="B146" s="22"/>
      <c r="C146" s="22"/>
      <c r="D146" s="22"/>
      <c r="E146" s="22"/>
      <c r="F146" s="113"/>
    </row>
    <row r="147" spans="2:6" ht="15">
      <c r="B147" s="22"/>
      <c r="C147" s="22"/>
      <c r="D147" s="22"/>
      <c r="E147" s="22"/>
      <c r="F147" s="113"/>
    </row>
    <row r="148" spans="2:14" ht="15">
      <c r="B148" s="22"/>
      <c r="C148" s="22"/>
      <c r="D148" s="22"/>
      <c r="E148" s="22"/>
      <c r="L148" s="22"/>
      <c r="M148" s="90"/>
      <c r="N148" s="90"/>
    </row>
    <row r="149" spans="2:3" ht="15">
      <c r="B149" s="22"/>
      <c r="C149" s="22"/>
    </row>
    <row r="150" spans="1:6" s="62" customFormat="1" ht="15">
      <c r="A150" s="62" t="s">
        <v>91</v>
      </c>
      <c r="F150" s="63"/>
    </row>
    <row r="151" spans="6:14" s="62" customFormat="1" ht="15">
      <c r="F151" s="63"/>
      <c r="M151" s="90"/>
      <c r="N151" s="90"/>
    </row>
    <row r="152" s="62" customFormat="1" ht="15">
      <c r="F152" s="63"/>
    </row>
    <row r="153" spans="6:15" s="62" customFormat="1" ht="15">
      <c r="F153" s="63"/>
      <c r="L153" s="90"/>
      <c r="M153" s="90"/>
      <c r="N153" s="90"/>
      <c r="O153" s="221"/>
    </row>
    <row r="154" spans="6:14" s="62" customFormat="1" ht="15">
      <c r="F154" s="63"/>
      <c r="L154" s="90"/>
      <c r="M154" s="90"/>
      <c r="N154" s="90"/>
    </row>
    <row r="155" spans="6:14" s="62" customFormat="1" ht="15">
      <c r="F155" s="63"/>
      <c r="L155" s="90"/>
      <c r="M155" s="90"/>
      <c r="N155" s="90"/>
    </row>
    <row r="156" spans="6:14" s="62" customFormat="1" ht="15">
      <c r="F156" s="63"/>
      <c r="L156" s="90"/>
      <c r="M156" s="90"/>
      <c r="N156" s="90"/>
    </row>
    <row r="157" spans="6:14" s="62" customFormat="1" ht="15">
      <c r="F157" s="63"/>
      <c r="L157" s="90"/>
      <c r="M157" s="90"/>
      <c r="N157" s="90"/>
    </row>
    <row r="158" spans="1:14" s="62" customFormat="1" ht="15">
      <c r="A158" s="62" t="s">
        <v>61</v>
      </c>
      <c r="B158" s="62" t="s">
        <v>92</v>
      </c>
      <c r="F158" s="63"/>
      <c r="L158" s="90"/>
      <c r="M158" s="90"/>
      <c r="N158" s="90"/>
    </row>
    <row r="159" spans="1:14" s="62" customFormat="1" ht="15">
      <c r="A159" s="62" t="s">
        <v>63</v>
      </c>
      <c r="B159" s="62" t="s">
        <v>93</v>
      </c>
      <c r="F159" s="63"/>
      <c r="L159" s="90"/>
      <c r="M159" s="90"/>
      <c r="N159" s="90"/>
    </row>
    <row r="160" spans="1:6" s="62" customFormat="1" ht="15">
      <c r="A160" s="62" t="s">
        <v>64</v>
      </c>
      <c r="B160" s="62" t="s">
        <v>94</v>
      </c>
      <c r="F160" s="63"/>
    </row>
    <row r="161" spans="1:14" s="62" customFormat="1" ht="15">
      <c r="A161" s="62" t="s">
        <v>95</v>
      </c>
      <c r="B161" s="62" t="s">
        <v>96</v>
      </c>
      <c r="F161" s="63"/>
      <c r="L161" s="90"/>
      <c r="M161" s="90"/>
      <c r="N161" s="90"/>
    </row>
    <row r="162" spans="1:14" s="62" customFormat="1" ht="15">
      <c r="A162" s="62" t="s">
        <v>80</v>
      </c>
      <c r="B162" s="62" t="s">
        <v>97</v>
      </c>
      <c r="F162" s="63"/>
      <c r="L162" s="90"/>
      <c r="M162" s="90"/>
      <c r="N162" s="90"/>
    </row>
    <row r="163" spans="1:14" s="62" customFormat="1" ht="15">
      <c r="A163" s="62" t="s">
        <v>83</v>
      </c>
      <c r="B163" s="62" t="s">
        <v>98</v>
      </c>
      <c r="F163" s="63"/>
      <c r="L163" s="90"/>
      <c r="M163" s="90"/>
      <c r="N163" s="90"/>
    </row>
    <row r="164" spans="1:14" s="62" customFormat="1" ht="15">
      <c r="A164" s="62" t="s">
        <v>99</v>
      </c>
      <c r="B164" s="62" t="s">
        <v>100</v>
      </c>
      <c r="F164" s="63"/>
      <c r="L164" s="90"/>
      <c r="M164" s="90"/>
      <c r="N164" s="90"/>
    </row>
    <row r="165" spans="1:6" s="62" customFormat="1" ht="15">
      <c r="A165" s="62" t="s">
        <v>101</v>
      </c>
      <c r="B165" s="62" t="s">
        <v>102</v>
      </c>
      <c r="F165" s="63"/>
    </row>
    <row r="166" spans="6:14" s="62" customFormat="1" ht="15">
      <c r="F166" s="63"/>
      <c r="L166" s="90"/>
      <c r="M166" s="90"/>
      <c r="N166" s="90"/>
    </row>
    <row r="167" spans="2:3" ht="15">
      <c r="B167" s="22"/>
      <c r="C167" s="22"/>
    </row>
    <row r="168" spans="2:3" ht="15">
      <c r="B168" s="22"/>
      <c r="C168" s="22"/>
    </row>
    <row r="169" spans="2:3" ht="15">
      <c r="B169" s="22"/>
      <c r="C169" s="22"/>
    </row>
    <row r="170" spans="2:3" ht="15">
      <c r="B170" s="22"/>
      <c r="C170" s="22"/>
    </row>
    <row r="171" spans="2:3" ht="15">
      <c r="B171" s="22"/>
      <c r="C171" s="22"/>
    </row>
    <row r="172" spans="2:3" ht="15">
      <c r="B172" s="22"/>
      <c r="C172" s="22"/>
    </row>
    <row r="173" spans="2:3" ht="15">
      <c r="B173" s="22"/>
      <c r="C173" s="22"/>
    </row>
    <row r="174" spans="2:3" ht="15">
      <c r="B174" s="22"/>
      <c r="C174" s="22"/>
    </row>
    <row r="175" spans="2:3" ht="15">
      <c r="B175" s="22"/>
      <c r="C175" s="22"/>
    </row>
    <row r="176" spans="2:3" ht="15">
      <c r="B176" s="22"/>
      <c r="C176" s="22"/>
    </row>
    <row r="177" spans="2:3" ht="15">
      <c r="B177" s="22"/>
      <c r="C177" s="22"/>
    </row>
    <row r="178" spans="2:3" ht="15">
      <c r="B178" s="22"/>
      <c r="C178" s="22"/>
    </row>
    <row r="179" spans="2:3" ht="15">
      <c r="B179" s="22"/>
      <c r="C179" s="22"/>
    </row>
    <row r="180" spans="2:3" ht="15">
      <c r="B180" s="22"/>
      <c r="C180" s="22"/>
    </row>
    <row r="181" spans="2:3" ht="15">
      <c r="B181" s="22"/>
      <c r="C181" s="22"/>
    </row>
    <row r="182" spans="2:3" ht="15">
      <c r="B182" s="22"/>
      <c r="C182" s="22"/>
    </row>
    <row r="183" spans="2:3" ht="15">
      <c r="B183" s="22"/>
      <c r="C183" s="22"/>
    </row>
    <row r="184" spans="2:3" ht="15">
      <c r="B184" s="22"/>
      <c r="C184" s="22"/>
    </row>
    <row r="185" spans="2:3" ht="15">
      <c r="B185" s="22"/>
      <c r="C185" s="22"/>
    </row>
    <row r="186" spans="2:3" ht="15">
      <c r="B186" s="22"/>
      <c r="C186" s="22"/>
    </row>
    <row r="187" spans="2:3" ht="15">
      <c r="B187" s="22"/>
      <c r="C187" s="22"/>
    </row>
    <row r="188" spans="2:3" ht="15">
      <c r="B188" s="22"/>
      <c r="C188" s="22"/>
    </row>
    <row r="189" spans="2:3" ht="15">
      <c r="B189" s="22"/>
      <c r="C189" s="22"/>
    </row>
    <row r="190" spans="2:3" ht="15">
      <c r="B190" s="22"/>
      <c r="C190" s="22"/>
    </row>
    <row r="191" spans="2:3" ht="15">
      <c r="B191" s="22"/>
      <c r="C191" s="22"/>
    </row>
    <row r="192" spans="2:3" ht="15">
      <c r="B192" s="22"/>
      <c r="C192" s="22"/>
    </row>
    <row r="193" spans="2:3" ht="15">
      <c r="B193" s="22"/>
      <c r="C193" s="22"/>
    </row>
    <row r="194" spans="2:3" ht="15">
      <c r="B194" s="22"/>
      <c r="C194" s="22"/>
    </row>
    <row r="195" spans="2:3" ht="15">
      <c r="B195" s="22"/>
      <c r="C195" s="22"/>
    </row>
    <row r="196" spans="2:3" ht="15">
      <c r="B196" s="22"/>
      <c r="C196" s="22"/>
    </row>
    <row r="197" spans="2:3" ht="15">
      <c r="B197" s="22"/>
      <c r="C197" s="22"/>
    </row>
    <row r="198" spans="2:3" ht="15">
      <c r="B198" s="22"/>
      <c r="C198" s="22"/>
    </row>
    <row r="199" spans="2:3" ht="15">
      <c r="B199" s="22"/>
      <c r="C199" s="22"/>
    </row>
    <row r="200" spans="2:3" ht="15">
      <c r="B200" s="22"/>
      <c r="C200" s="22"/>
    </row>
    <row r="201" spans="2:3" ht="15">
      <c r="B201" s="22"/>
      <c r="C201" s="22"/>
    </row>
    <row r="202" spans="2:3" ht="15">
      <c r="B202" s="22"/>
      <c r="C202" s="22"/>
    </row>
    <row r="203" spans="2:3" ht="15">
      <c r="B203" s="22"/>
      <c r="C203" s="22"/>
    </row>
    <row r="204" spans="2:3" ht="15">
      <c r="B204" s="22"/>
      <c r="C204" s="22"/>
    </row>
    <row r="205" spans="2:3" ht="15">
      <c r="B205" s="22"/>
      <c r="C205" s="22"/>
    </row>
    <row r="206" spans="2:3" ht="15">
      <c r="B206" s="22"/>
      <c r="C206" s="22"/>
    </row>
    <row r="207" spans="2:3" ht="15">
      <c r="B207" s="22"/>
      <c r="C207" s="22"/>
    </row>
    <row r="208" spans="2:3" ht="15">
      <c r="B208" s="22"/>
      <c r="C208" s="22"/>
    </row>
    <row r="209" spans="2:3" ht="15">
      <c r="B209" s="22"/>
      <c r="C209" s="22"/>
    </row>
    <row r="210" spans="2:3" ht="15">
      <c r="B210" s="22"/>
      <c r="C210" s="22"/>
    </row>
    <row r="211" spans="2:3" ht="15">
      <c r="B211" s="22"/>
      <c r="C211" s="22"/>
    </row>
    <row r="212" spans="2:3" ht="15">
      <c r="B212" s="22"/>
      <c r="C212" s="22"/>
    </row>
    <row r="213" spans="2:3" ht="15">
      <c r="B213" s="22"/>
      <c r="C213" s="22"/>
    </row>
    <row r="214" spans="2:3" ht="15">
      <c r="B214" s="22"/>
      <c r="C214" s="22"/>
    </row>
    <row r="215" spans="2:3" ht="15">
      <c r="B215" s="22"/>
      <c r="C215" s="22"/>
    </row>
    <row r="216" spans="2:3" ht="15">
      <c r="B216" s="22"/>
      <c r="C216" s="22"/>
    </row>
    <row r="217" spans="2:3" ht="15">
      <c r="B217" s="22"/>
      <c r="C217" s="22"/>
    </row>
  </sheetData>
  <sheetProtection/>
  <mergeCells count="4">
    <mergeCell ref="K81:M81"/>
    <mergeCell ref="E49:F49"/>
    <mergeCell ref="A130:H130"/>
    <mergeCell ref="A131:H131"/>
  </mergeCells>
  <conditionalFormatting sqref="E77:H84 D85:H87 D81:D84 D77:D79 D74:H76">
    <cfRule type="cellIs" priority="1" dxfId="0" operator="equal" stopIfTrue="1">
      <formula>0</formula>
    </cfRule>
  </conditionalFormatting>
  <dataValidations count="3">
    <dataValidation type="list" showInputMessage="1" showErrorMessage="1" sqref="A126">
      <formula1>$A$160:$A$163</formula1>
    </dataValidation>
    <dataValidation type="list" showInputMessage="1" showErrorMessage="1" sqref="A114">
      <formula1>$A$160:$A$167</formula1>
    </dataValidation>
    <dataValidation type="list" showInputMessage="1" showErrorMessage="1" sqref="A115:A125">
      <formula1>$A$157:$A$165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5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2007-08-30T13:19:42Z</cp:lastPrinted>
  <dcterms:created xsi:type="dcterms:W3CDTF">1999-09-14T15:50:48Z</dcterms:created>
  <dcterms:modified xsi:type="dcterms:W3CDTF">2007-08-30T13:19:44Z</dcterms:modified>
  <cp:category/>
  <cp:version/>
  <cp:contentType/>
  <cp:contentStatus/>
</cp:coreProperties>
</file>